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100" tabRatio="904" activeTab="1"/>
  </bookViews>
  <sheets>
    <sheet name="论文" sheetId="1" r:id="rId1"/>
    <sheet name="著作" sheetId="2" r:id="rId2"/>
    <sheet name="科研成果" sheetId="3" r:id="rId3"/>
    <sheet name="论文评奖" sheetId="4" r:id="rId4"/>
    <sheet name="教师参赛获奖" sheetId="5" r:id="rId5"/>
    <sheet name="多媒体课件获奖" sheetId="6" r:id="rId6"/>
    <sheet name="优秀指导教师" sheetId="7" r:id="rId7"/>
    <sheet name="品种审定" sheetId="8" r:id="rId8"/>
    <sheet name="专利" sheetId="9" r:id="rId9"/>
    <sheet name="课题立项结题" sheetId="10" r:id="rId10"/>
    <sheet name="教师知识咨询" sheetId="11" r:id="rId11"/>
    <sheet name="教师技术服务" sheetId="12" r:id="rId12"/>
    <sheet name="全院统计表" sheetId="13" state="hidden" r:id="rId13"/>
    <sheet name="全院全年汇总表2" sheetId="14" state="hidden" r:id="rId14"/>
    <sheet name="字典" sheetId="15" state="hidden" r:id="rId15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21" authorId="0">
      <text>
        <r>
          <rPr>
            <b/>
            <sz val="9"/>
            <rFont val="Tahoma"/>
            <charset val="134"/>
          </rPr>
          <t>administrator:</t>
        </r>
        <r>
          <rPr>
            <b/>
            <sz val="9"/>
            <rFont val="宋体"/>
            <charset val="134"/>
          </rPr>
          <t>；加李楠两项</t>
        </r>
      </text>
    </comment>
    <comment ref="F21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加李楠两项</t>
        </r>
      </text>
    </comment>
  </commentList>
</comments>
</file>

<file path=xl/sharedStrings.xml><?xml version="1.0" encoding="utf-8"?>
<sst xmlns="http://schemas.openxmlformats.org/spreadsheetml/2006/main" count="376">
  <si>
    <r>
      <rPr>
        <b/>
        <sz val="26"/>
        <rFont val="宋体"/>
        <charset val="134"/>
      </rPr>
      <t>2</t>
    </r>
    <r>
      <rPr>
        <b/>
        <sz val="26"/>
        <rFont val="宋体"/>
        <charset val="134"/>
      </rPr>
      <t>016年</t>
    </r>
    <r>
      <rPr>
        <b/>
        <sz val="26"/>
        <rFont val="宋体"/>
        <charset val="134"/>
      </rPr>
      <t>论文统计表</t>
    </r>
  </si>
  <si>
    <r>
      <rPr>
        <b/>
        <sz val="20"/>
        <rFont val="黑体"/>
        <charset val="134"/>
      </rPr>
      <t>注:</t>
    </r>
    <r>
      <rPr>
        <b/>
        <sz val="20"/>
        <color indexed="9"/>
        <rFont val="宋体"/>
        <charset val="134"/>
      </rPr>
      <t>只许第一作者土填写，必须填写完整不要有空的单元格，发表的日期为具体年月，并注明第几期（具体格式见"示例"加红的一行）。（年月无法更改则点到标准格式,按住标准格右下角进行拖拽,再进行更改）</t>
    </r>
  </si>
  <si>
    <t>序号</t>
  </si>
  <si>
    <t>姓名</t>
  </si>
  <si>
    <t>部门名称</t>
  </si>
  <si>
    <t>作者名次</t>
  </si>
  <si>
    <t>论文名称</t>
  </si>
  <si>
    <t>发表时间（年月）</t>
  </si>
  <si>
    <t>期刊名称</t>
  </si>
  <si>
    <t>主办单位(一般在期刊的开篇也上写着）</t>
  </si>
  <si>
    <t>影响因子</t>
  </si>
  <si>
    <t>刊物发表
学术论文</t>
  </si>
  <si>
    <t>示例</t>
  </si>
  <si>
    <t>***</t>
  </si>
  <si>
    <t>信息工程学院</t>
  </si>
  <si>
    <t>第一作者</t>
  </si>
  <si>
    <r>
      <rPr>
        <sz val="12"/>
        <color indexed="8"/>
        <rFont val="宋体"/>
        <charset val="134"/>
      </rPr>
      <t>2013-</t>
    </r>
    <r>
      <rPr>
        <sz val="12"/>
        <rFont val="宋体"/>
        <charset val="134"/>
      </rPr>
      <t>03</t>
    </r>
    <r>
      <rPr>
        <sz val="12"/>
        <rFont val="宋体"/>
        <charset val="134"/>
      </rPr>
      <t>（</t>
    </r>
    <r>
      <rPr>
        <sz val="12"/>
        <rFont val="宋体"/>
        <charset val="134"/>
      </rPr>
      <t>7</t>
    </r>
    <r>
      <rPr>
        <sz val="12"/>
        <rFont val="宋体"/>
        <charset val="134"/>
      </rPr>
      <t>期）</t>
    </r>
  </si>
  <si>
    <t>黑龙江教育</t>
  </si>
  <si>
    <t>黑龙江大学</t>
  </si>
  <si>
    <t>张成学</t>
  </si>
  <si>
    <t>机电工程学院</t>
  </si>
  <si>
    <t>依托农机企业，企校共建提升人才培养质量的研究</t>
  </si>
  <si>
    <r>
      <rPr>
        <sz val="12"/>
        <color rgb="FF000000"/>
        <rFont val="宋体"/>
        <charset val="134"/>
      </rPr>
      <t>2016-</t>
    </r>
    <r>
      <rPr>
        <sz val="12"/>
        <rFont val="宋体"/>
        <charset val="134"/>
      </rPr>
      <t>02</t>
    </r>
  </si>
  <si>
    <t>《农机使用与维修》</t>
  </si>
  <si>
    <t>农业部农机维修研究所</t>
  </si>
  <si>
    <t>谢强</t>
  </si>
  <si>
    <t>我国有色金属发展现状</t>
  </si>
  <si>
    <r>
      <rPr>
        <sz val="12"/>
        <color indexed="8"/>
        <rFont val="宋体"/>
        <charset val="134"/>
      </rPr>
      <t>201</t>
    </r>
    <r>
      <rPr>
        <sz val="12"/>
        <color indexed="8"/>
        <rFont val="宋体"/>
        <charset val="134"/>
      </rPr>
      <t>6</t>
    </r>
    <r>
      <rPr>
        <sz val="12"/>
        <color indexed="8"/>
        <rFont val="宋体"/>
        <charset val="134"/>
      </rPr>
      <t>-</t>
    </r>
    <r>
      <rPr>
        <sz val="12"/>
        <rFont val="宋体"/>
        <charset val="134"/>
      </rPr>
      <t>07（21期）</t>
    </r>
  </si>
  <si>
    <t>基层建设</t>
  </si>
  <si>
    <t>济南军区政治部</t>
  </si>
  <si>
    <r>
      <rPr>
        <b/>
        <sz val="26"/>
        <rFont val="宋体"/>
        <charset val="134"/>
      </rPr>
      <t>2</t>
    </r>
    <r>
      <rPr>
        <b/>
        <sz val="26"/>
        <rFont val="宋体"/>
        <charset val="134"/>
      </rPr>
      <t>016年</t>
    </r>
    <r>
      <rPr>
        <b/>
        <sz val="26"/>
        <rFont val="宋体"/>
        <charset val="134"/>
      </rPr>
      <t>著作及教材统计表</t>
    </r>
  </si>
  <si>
    <r>
      <rPr>
        <b/>
        <sz val="22"/>
        <rFont val="黑体"/>
        <charset val="134"/>
      </rPr>
      <t>注:</t>
    </r>
    <r>
      <rPr>
        <b/>
        <sz val="16"/>
        <color indexed="9"/>
        <rFont val="宋体"/>
        <charset val="134"/>
      </rPr>
      <t>（由教师本人填写，所有栏目请按具体格式填写完整不要有空单位格,（具体格式见“示例”一行）（年月无法更改则点到标准格式,按住标准格右下角进行拖拽,再进行更改）</t>
    </r>
  </si>
  <si>
    <t>承担作用（主编、副主编或参编，若为主编请注明第几主编）</t>
  </si>
  <si>
    <t>本书中总的排名顺序(例如,有一个主编,你是副主编中的第2个,总排名为3,则写3即可)</t>
  </si>
  <si>
    <t>著作及教材名称</t>
  </si>
  <si>
    <t>出版单位</t>
  </si>
  <si>
    <r>
      <rPr>
        <b/>
        <sz val="14"/>
        <rFont val="宋体"/>
        <charset val="134"/>
      </rPr>
      <t xml:space="preserve">CIP核字号
</t>
    </r>
    <r>
      <rPr>
        <b/>
        <sz val="12"/>
        <rFont val="宋体"/>
        <charset val="134"/>
      </rPr>
      <t>例如：核字(2005)第123456号，则输入的完整核字号为：“2005123456”</t>
    </r>
  </si>
  <si>
    <t>ISBN（国际标准书号）</t>
  </si>
  <si>
    <t>国家级规划/规划</t>
  </si>
  <si>
    <t>出版时间（年月）</t>
  </si>
  <si>
    <t>科技处</t>
  </si>
  <si>
    <t>第一主编</t>
  </si>
  <si>
    <t>************</t>
  </si>
  <si>
    <t>*********</t>
  </si>
  <si>
    <t>2013123456</t>
  </si>
  <si>
    <t>ISBN 888-8-8888-8888-0</t>
  </si>
  <si>
    <t>****</t>
  </si>
  <si>
    <t>2013-10-1</t>
  </si>
  <si>
    <t>1</t>
  </si>
  <si>
    <t>韩明辉</t>
  </si>
  <si>
    <t>第一副主编</t>
  </si>
  <si>
    <t>3</t>
  </si>
  <si>
    <t>机械设计基础</t>
  </si>
  <si>
    <t>西北工业大学出版社</t>
  </si>
  <si>
    <t>2016017675</t>
  </si>
  <si>
    <t>ISBN 978-7-5612-4712-9</t>
  </si>
  <si>
    <t>十三五规划</t>
  </si>
  <si>
    <t>2016-01-1</t>
  </si>
  <si>
    <t>2</t>
  </si>
  <si>
    <t>机械制造技术</t>
  </si>
  <si>
    <t>吉林大学出版社</t>
  </si>
  <si>
    <t>2016137422</t>
  </si>
  <si>
    <t>ISBN 978-7-5677-6738-6</t>
  </si>
  <si>
    <t>2016-06-1</t>
  </si>
  <si>
    <t>张敬</t>
  </si>
  <si>
    <t>第二副主编</t>
  </si>
  <si>
    <t>4</t>
  </si>
  <si>
    <t>金属工艺学</t>
  </si>
  <si>
    <t>2008195568</t>
  </si>
  <si>
    <t>ISBN 978-7-5601-3731-5</t>
  </si>
  <si>
    <t>校企合作优秀精品课程/十三五全国职业教育机电类规划新教材</t>
  </si>
  <si>
    <t>2016-5</t>
  </si>
  <si>
    <t>李平</t>
  </si>
  <si>
    <t>5</t>
  </si>
  <si>
    <t>汽车电工电子技术</t>
  </si>
  <si>
    <t>上海交通大学出版社</t>
  </si>
  <si>
    <t>ISBN 978-7-313-11959-9/U</t>
  </si>
  <si>
    <t>全国职业院校汽车专业“十二五”规划教材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</si>
  <si>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016-3</t>
    </r>
  </si>
  <si>
    <r>
      <rPr>
        <sz val="12"/>
        <rFont val="宋体"/>
        <charset val="134"/>
      </rPr>
      <t>汽车机械制图与C</t>
    </r>
    <r>
      <rPr>
        <sz val="12"/>
        <rFont val="宋体"/>
        <charset val="134"/>
      </rPr>
      <t>AD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</si>
  <si>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014207204</t>
    </r>
  </si>
  <si>
    <r>
      <rPr>
        <sz val="12"/>
        <rFont val="宋体"/>
        <charset val="134"/>
      </rPr>
      <t>ISBN 978-</t>
    </r>
    <r>
      <rPr>
        <sz val="12"/>
        <rFont val="宋体"/>
        <charset val="134"/>
      </rPr>
      <t>7-713-12026-7/U</t>
    </r>
  </si>
  <si>
    <t>6</t>
  </si>
  <si>
    <t>奚琪</t>
  </si>
  <si>
    <t>汽车发动机构造与维修</t>
  </si>
  <si>
    <t>2014181080</t>
  </si>
  <si>
    <t>ISBN 978-7-313-11871-4</t>
  </si>
  <si>
    <t>国家级规划</t>
  </si>
  <si>
    <t>2016-3</t>
  </si>
  <si>
    <t>7</t>
  </si>
  <si>
    <t>田雪萍</t>
  </si>
  <si>
    <t>汽车维护与保养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</si>
  <si>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014163179</t>
    </r>
  </si>
  <si>
    <t>ISBN 978-7-313-11782-3/U</t>
  </si>
  <si>
    <t>2016-03</t>
  </si>
  <si>
    <t>8</t>
  </si>
  <si>
    <t>王萍</t>
  </si>
  <si>
    <t>二手车鉴定与评估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</si>
  <si>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014163197</t>
    </r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</si>
  <si>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78－7－313－11795－3</t>
    </r>
  </si>
  <si>
    <t>国家十三五规划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</si>
  <si>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016－03</t>
    </r>
  </si>
  <si>
    <t>9</t>
  </si>
  <si>
    <t>第三副主编</t>
  </si>
  <si>
    <t>Photoshop基础与照片处理项目教程</t>
  </si>
  <si>
    <t>哈尔滨工业大学出版社</t>
  </si>
  <si>
    <t>2015038574</t>
  </si>
  <si>
    <t>978-7-5603-5183-4</t>
  </si>
  <si>
    <t>国家中职教育改革发展示范学校建设计划项目</t>
  </si>
  <si>
    <t>2016-02</t>
  </si>
  <si>
    <t>10</t>
  </si>
  <si>
    <t>机电设备安装与调试（第3版）</t>
  </si>
  <si>
    <t>北京航空航天大学出版社</t>
  </si>
  <si>
    <t>2016-07-1</t>
  </si>
  <si>
    <t>11</t>
  </si>
  <si>
    <t>李雪</t>
  </si>
  <si>
    <t>参编</t>
  </si>
  <si>
    <t>大学生思想政治教育</t>
  </si>
  <si>
    <t>2016068443</t>
  </si>
  <si>
    <t>ISBN 978-7-5677-6002-8</t>
  </si>
  <si>
    <t>十三五规划教材</t>
  </si>
  <si>
    <t>12</t>
  </si>
  <si>
    <t>王德成</t>
  </si>
  <si>
    <t>第二主编</t>
  </si>
  <si>
    <t>汽车发动机电控系统结构与检修</t>
  </si>
  <si>
    <t>中国农业大学出版社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</si>
  <si>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016179361</t>
    </r>
  </si>
  <si>
    <r>
      <rPr>
        <sz val="12"/>
        <rFont val="宋体"/>
        <charset val="134"/>
      </rPr>
      <t>I</t>
    </r>
    <r>
      <rPr>
        <sz val="12"/>
        <rFont val="宋体"/>
        <charset val="134"/>
      </rPr>
      <t>SBN 978-7-5655-1635-1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</si>
  <si>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016-9</t>
    </r>
  </si>
  <si>
    <t>13</t>
  </si>
  <si>
    <t>汽车配件市场营销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</si>
  <si>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015204289</t>
    </r>
  </si>
  <si>
    <t>ISBN 978-7-313-14501-7</t>
  </si>
  <si>
    <t>规划</t>
  </si>
  <si>
    <t>14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</si>
  <si>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014181080</t>
    </r>
  </si>
  <si>
    <r>
      <rPr>
        <sz val="12"/>
        <rFont val="宋体"/>
        <charset val="134"/>
      </rPr>
      <t>I</t>
    </r>
    <r>
      <rPr>
        <sz val="12"/>
        <rFont val="宋体"/>
        <charset val="134"/>
      </rPr>
      <t>SBN 978-7-313-11871-4/U</t>
    </r>
  </si>
  <si>
    <t>15</t>
  </si>
  <si>
    <t>张晓龙</t>
  </si>
  <si>
    <t>汽油发动机控制系统检修</t>
  </si>
  <si>
    <t>2015199607</t>
  </si>
  <si>
    <t>ISBN 978-7-313-13677-0/U</t>
  </si>
  <si>
    <t>全国汽车专业创新规划教材</t>
  </si>
  <si>
    <t>2015-8</t>
  </si>
  <si>
    <t>16</t>
  </si>
  <si>
    <t>李佳妮</t>
  </si>
  <si>
    <t>汽车电路识图</t>
  </si>
  <si>
    <t>2015186157</t>
  </si>
  <si>
    <t>ISBN 978-7-313-13591-9/U</t>
  </si>
  <si>
    <t>全国职业院校汽车专业“十二五”规划新教材</t>
  </si>
  <si>
    <t>17</t>
  </si>
  <si>
    <t>汽车认识</t>
  </si>
  <si>
    <t>2015205030</t>
  </si>
  <si>
    <t>ISBN 978-7-313-13697-8/U</t>
  </si>
  <si>
    <t>2015-9</t>
  </si>
  <si>
    <t>18</t>
  </si>
  <si>
    <t>19</t>
  </si>
  <si>
    <t>董立占</t>
  </si>
  <si>
    <t>20</t>
  </si>
  <si>
    <t>汤承江</t>
  </si>
  <si>
    <t>21</t>
  </si>
  <si>
    <t>王海峰</t>
  </si>
  <si>
    <t>汽车结构与拆装（发动机部分）</t>
  </si>
  <si>
    <t>2016152782</t>
  </si>
  <si>
    <t>ISBN978-7-313-15190-2</t>
  </si>
  <si>
    <t>国家级十三五规划教材</t>
  </si>
  <si>
    <t>2016-07</t>
  </si>
  <si>
    <t>22</t>
  </si>
  <si>
    <t>23</t>
  </si>
  <si>
    <t>汽车装饰与美容</t>
  </si>
  <si>
    <t>2016163674</t>
  </si>
  <si>
    <t>ISBN978-7-313-15381-4</t>
  </si>
  <si>
    <t>24</t>
  </si>
  <si>
    <t>张硕</t>
  </si>
  <si>
    <t>25</t>
  </si>
  <si>
    <t>汽车结构与拆装（底盘部分）</t>
  </si>
  <si>
    <t>26</t>
  </si>
  <si>
    <r>
      <rPr>
        <b/>
        <sz val="24"/>
        <rFont val="Times New Roman"/>
        <charset val="134"/>
      </rPr>
      <t xml:space="preserve">                                            2016</t>
    </r>
    <r>
      <rPr>
        <b/>
        <sz val="24"/>
        <rFont val="宋体"/>
        <charset val="134"/>
      </rPr>
      <t>年科研成果获奖统计表</t>
    </r>
    <r>
      <rPr>
        <b/>
        <sz val="24"/>
        <rFont val="Times New Roman"/>
        <charset val="134"/>
      </rPr>
      <t xml:space="preserve">                                              
</t>
    </r>
    <r>
      <rPr>
        <b/>
        <sz val="24"/>
        <color indexed="10"/>
        <rFont val="宋体"/>
        <charset val="134"/>
      </rPr>
      <t>注</t>
    </r>
    <r>
      <rPr>
        <b/>
        <sz val="24"/>
        <color indexed="10"/>
        <rFont val="Times New Roman"/>
        <charset val="134"/>
      </rPr>
      <t>:1</t>
    </r>
    <r>
      <rPr>
        <b/>
        <sz val="24"/>
        <color indexed="10"/>
        <rFont val="宋体"/>
        <charset val="134"/>
      </rPr>
      <t>、请主持人填写，必须填写完整不要有空的单元格，（具体格式见</t>
    </r>
    <r>
      <rPr>
        <b/>
        <sz val="24"/>
        <color indexed="10"/>
        <rFont val="Times New Roman"/>
        <charset val="134"/>
      </rPr>
      <t>“</t>
    </r>
    <r>
      <rPr>
        <b/>
        <sz val="24"/>
        <color indexed="10"/>
        <rFont val="宋体"/>
        <charset val="134"/>
      </rPr>
      <t>示例</t>
    </r>
    <r>
      <rPr>
        <b/>
        <sz val="24"/>
        <color indexed="10"/>
        <rFont val="Times New Roman"/>
        <charset val="134"/>
      </rPr>
      <t>”</t>
    </r>
    <r>
      <rPr>
        <b/>
        <sz val="24"/>
        <color indexed="10"/>
        <rFont val="宋体"/>
        <charset val="134"/>
      </rPr>
      <t xml:space="preserve">一行）
</t>
    </r>
    <r>
      <rPr>
        <b/>
        <sz val="24"/>
        <color indexed="10"/>
        <rFont val="Times New Roman"/>
        <charset val="134"/>
      </rPr>
      <t xml:space="preserve">      2</t>
    </r>
    <r>
      <rPr>
        <b/>
        <sz val="24"/>
        <color indexed="10"/>
        <rFont val="宋体"/>
        <charset val="134"/>
      </rPr>
      <t>、通过学院科技处申报的立项、结题不必填写</t>
    </r>
  </si>
  <si>
    <t>部门</t>
  </si>
  <si>
    <t>成果名称</t>
  </si>
  <si>
    <t>参加人（请主持人按顺序填写参加成员）</t>
  </si>
  <si>
    <t>奖励名称</t>
  </si>
  <si>
    <r>
      <rPr>
        <b/>
        <sz val="10"/>
        <rFont val="宋体"/>
        <charset val="134"/>
      </rPr>
      <t>奖励时间</t>
    </r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（年月证书落款时间）</t>
    </r>
  </si>
  <si>
    <r>
      <rPr>
        <b/>
        <sz val="12"/>
        <rFont val="宋体"/>
        <charset val="134"/>
      </rPr>
      <t>发表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出版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授奖单位（盖章的单位）</t>
    </r>
  </si>
  <si>
    <t>授奖级别</t>
  </si>
  <si>
    <t>**************</t>
  </si>
  <si>
    <t>*************</t>
  </si>
  <si>
    <t>2014-1-1</t>
  </si>
  <si>
    <r>
      <rPr>
        <b/>
        <sz val="26"/>
        <rFont val="宋体"/>
        <charset val="134"/>
      </rPr>
      <t>2016年</t>
    </r>
    <r>
      <rPr>
        <b/>
        <sz val="26"/>
        <rFont val="宋体"/>
        <charset val="134"/>
      </rPr>
      <t>论文评奖统计表</t>
    </r>
    <r>
      <rPr>
        <b/>
        <sz val="24"/>
        <rFont val="宋体"/>
        <charset val="134"/>
      </rPr>
      <t xml:space="preserve">
注:</t>
    </r>
    <r>
      <rPr>
        <b/>
        <sz val="16"/>
        <color indexed="9"/>
        <rFont val="宋体"/>
        <charset val="134"/>
      </rPr>
      <t>由主持人填写,必须填写完整不要有空的单元格，（具体格式见“示例”一行）</t>
    </r>
  </si>
  <si>
    <t>奖励时间   （年月证书落款时间）</t>
  </si>
  <si>
    <t>发表/出版/授奖单位（盖章的单位）</t>
  </si>
  <si>
    <t>*******************</t>
  </si>
  <si>
    <t>2013-08</t>
  </si>
  <si>
    <t>佳木斯市社科联</t>
  </si>
  <si>
    <t>一等奖</t>
  </si>
  <si>
    <r>
      <rPr>
        <b/>
        <sz val="26"/>
        <rFont val="宋体"/>
        <charset val="134"/>
      </rPr>
      <t>2016年</t>
    </r>
    <r>
      <rPr>
        <b/>
        <sz val="26"/>
        <rFont val="宋体"/>
        <charset val="134"/>
      </rPr>
      <t>教师参加大赛获奖</t>
    </r>
    <r>
      <rPr>
        <b/>
        <sz val="24"/>
        <rFont val="宋体"/>
        <charset val="134"/>
      </rPr>
      <t xml:space="preserve">
注:</t>
    </r>
    <r>
      <rPr>
        <b/>
        <sz val="16"/>
        <color indexed="9"/>
        <rFont val="宋体"/>
        <charset val="134"/>
      </rPr>
      <t>教师本人填写,必须填写完整不要有空的单元格，（具体格式见“示例”一行）</t>
    </r>
  </si>
  <si>
    <t>授奖单位（盖章的单位）</t>
  </si>
  <si>
    <t>授奖等级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</si>
  <si>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**</t>
    </r>
  </si>
  <si>
    <t>黑龙江省首届高校教师微课教学比赛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</si>
  <si>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4</t>
    </r>
    <r>
      <rPr>
        <sz val="12"/>
        <rFont val="宋体"/>
        <charset val="134"/>
      </rPr>
      <t>-</t>
    </r>
    <r>
      <rPr>
        <sz val="12"/>
        <rFont val="宋体"/>
        <charset val="134"/>
      </rPr>
      <t>09-01</t>
    </r>
  </si>
  <si>
    <t>黑龙江省高校师资培训中心，教育部全国高校教师网络培训黑龙江分中心</t>
  </si>
  <si>
    <t>二等奖</t>
  </si>
  <si>
    <r>
      <rPr>
        <b/>
        <sz val="26"/>
        <rFont val="宋体"/>
        <charset val="134"/>
      </rPr>
      <t>2016年</t>
    </r>
    <r>
      <rPr>
        <b/>
        <sz val="26"/>
        <rFont val="宋体"/>
        <charset val="134"/>
      </rPr>
      <t>多媒体课件获奖</t>
    </r>
    <r>
      <rPr>
        <b/>
        <sz val="24"/>
        <rFont val="宋体"/>
        <charset val="134"/>
      </rPr>
      <t xml:space="preserve">
注:</t>
    </r>
    <r>
      <rPr>
        <b/>
        <sz val="16"/>
        <color indexed="9"/>
        <rFont val="宋体"/>
        <charset val="134"/>
      </rPr>
      <t>由主持人人填写,必须填写完整不要有空的单元格</t>
    </r>
  </si>
  <si>
    <t>主持人</t>
  </si>
  <si>
    <r>
      <rPr>
        <b/>
        <sz val="12"/>
        <rFont val="宋体"/>
        <charset val="134"/>
      </rPr>
      <t>参加人</t>
    </r>
    <r>
      <rPr>
        <b/>
        <sz val="12"/>
        <color indexed="9"/>
        <rFont val="宋体"/>
        <charset val="134"/>
      </rPr>
      <t>（请主持人按顺序填写参加成员）</t>
    </r>
  </si>
  <si>
    <t>发表/出版/授奖单位</t>
  </si>
  <si>
    <t>xxx课件</t>
  </si>
  <si>
    <t>*****</t>
  </si>
  <si>
    <t>2014-06</t>
  </si>
  <si>
    <t>黑龙江省教育厅高教处</t>
  </si>
  <si>
    <r>
      <rPr>
        <b/>
        <sz val="26"/>
        <rFont val="宋体"/>
        <charset val="134"/>
      </rPr>
      <t>2016年</t>
    </r>
    <r>
      <rPr>
        <b/>
        <sz val="26"/>
        <rFont val="宋体"/>
        <charset val="134"/>
      </rPr>
      <t>优秀指导教师大赛获奖</t>
    </r>
    <r>
      <rPr>
        <b/>
        <sz val="24"/>
        <rFont val="宋体"/>
        <charset val="134"/>
      </rPr>
      <t xml:space="preserve">                                        
注:</t>
    </r>
    <r>
      <rPr>
        <b/>
        <sz val="16"/>
        <color indexed="9"/>
        <rFont val="宋体"/>
        <charset val="134"/>
      </rPr>
      <t>由教师本人填写，多人指导同一组学生同一个项目填写在同一栏，请按格式填写完整,并在最后一栏注明教师是否有奖励证书（具体格式见“示例”一行）</t>
    </r>
  </si>
  <si>
    <r>
      <rPr>
        <b/>
        <sz val="12"/>
        <rFont val="宋体"/>
        <charset val="134"/>
      </rPr>
      <t>授奖单位</t>
    </r>
    <r>
      <rPr>
        <b/>
        <sz val="12"/>
        <color indexed="9"/>
        <rFont val="宋体"/>
        <charset val="134"/>
      </rPr>
      <t>（盖章的单位）</t>
    </r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</si>
  <si>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***********</t>
    </r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</si>
  <si>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4</t>
    </r>
    <r>
      <rPr>
        <sz val="12"/>
        <rFont val="宋体"/>
        <charset val="134"/>
      </rPr>
      <t>-0</t>
    </r>
    <r>
      <rPr>
        <sz val="12"/>
        <rFont val="宋体"/>
        <charset val="134"/>
      </rPr>
      <t>1</t>
    </r>
  </si>
  <si>
    <t>黑龙江省教育厅</t>
  </si>
  <si>
    <t>优秀指导教师</t>
  </si>
  <si>
    <t>2016-04</t>
  </si>
  <si>
    <r>
      <rPr>
        <b/>
        <sz val="26"/>
        <rFont val="宋体"/>
        <charset val="134"/>
      </rPr>
      <t>2016年</t>
    </r>
    <r>
      <rPr>
        <b/>
        <sz val="26"/>
        <rFont val="宋体"/>
        <charset val="134"/>
      </rPr>
      <t>品种审定</t>
    </r>
    <r>
      <rPr>
        <sz val="12"/>
        <rFont val="宋体"/>
        <charset val="134"/>
      </rPr>
      <t xml:space="preserve">
</t>
    </r>
    <r>
      <rPr>
        <b/>
        <sz val="22"/>
        <rFont val="宋体"/>
        <charset val="134"/>
      </rPr>
      <t>注:</t>
    </r>
    <r>
      <rPr>
        <b/>
        <sz val="16"/>
        <color indexed="9"/>
        <rFont val="宋体"/>
        <charset val="134"/>
      </rPr>
      <t>教师本人填写,必须填写完整不要有空的单元格，（具体格式见“示例”一行）</t>
    </r>
  </si>
  <si>
    <t>总排名</t>
  </si>
  <si>
    <t>第一单位</t>
  </si>
  <si>
    <t>2011-03</t>
  </si>
  <si>
    <r>
      <rPr>
        <b/>
        <sz val="26"/>
        <rFont val="宋体"/>
        <charset val="134"/>
      </rPr>
      <t>2016年</t>
    </r>
    <r>
      <rPr>
        <b/>
        <sz val="26"/>
        <rFont val="宋体"/>
        <charset val="134"/>
      </rPr>
      <t>专利统计表</t>
    </r>
    <r>
      <rPr>
        <sz val="12"/>
        <rFont val="宋体"/>
        <charset val="134"/>
      </rPr>
      <t xml:space="preserve">
</t>
    </r>
    <r>
      <rPr>
        <b/>
        <sz val="22"/>
        <rFont val="宋体"/>
        <charset val="134"/>
      </rPr>
      <t>注:</t>
    </r>
    <r>
      <rPr>
        <b/>
        <sz val="16"/>
        <color indexed="9"/>
        <rFont val="宋体"/>
        <charset val="134"/>
      </rPr>
      <t>教师本人填写,必须填写完整不要有空的单元格，（具体格式见“示例”一行）</t>
    </r>
  </si>
  <si>
    <t>发明人</t>
  </si>
  <si>
    <t>专利号</t>
  </si>
  <si>
    <t>专利名称</t>
  </si>
  <si>
    <t>专利权人</t>
  </si>
  <si>
    <t>授权时间   （年月证书落款时间）</t>
  </si>
  <si>
    <t>授予单位</t>
  </si>
  <si>
    <t>专利类别</t>
  </si>
  <si>
    <t>外国语学院</t>
  </si>
  <si>
    <t>ZL2012270751560.7</t>
  </si>
  <si>
    <t>一种英语听力播放器</t>
  </si>
  <si>
    <t>黑龙江农业职业技术学院</t>
  </si>
  <si>
    <t>2013-06</t>
  </si>
  <si>
    <t>中华人民共和国国家知识产权局</t>
  </si>
  <si>
    <t>实用新型专利</t>
  </si>
  <si>
    <t>第一</t>
  </si>
  <si>
    <t>ZL201520934133.6</t>
  </si>
  <si>
    <t>一种用于实验室的多功能外螺纹测量仪</t>
  </si>
  <si>
    <t>2016-3-23</t>
  </si>
  <si>
    <t>第二</t>
  </si>
  <si>
    <t>ZL201520713722.1</t>
  </si>
  <si>
    <t>一种用于山地自行车的手机夹持装置</t>
  </si>
  <si>
    <t>2016-1-6</t>
  </si>
  <si>
    <t>第三</t>
  </si>
  <si>
    <r>
      <rPr>
        <sz val="12"/>
        <rFont val="宋体"/>
        <charset val="134"/>
      </rPr>
      <t>Z</t>
    </r>
    <r>
      <rPr>
        <sz val="12"/>
        <rFont val="宋体"/>
        <charset val="134"/>
      </rPr>
      <t>L201520821588.7</t>
    </r>
  </si>
  <si>
    <t>新型膝下假肢</t>
  </si>
  <si>
    <t>2016-3-30</t>
  </si>
  <si>
    <t>第四</t>
  </si>
  <si>
    <t>2016-01</t>
  </si>
  <si>
    <r>
      <rPr>
        <b/>
        <sz val="24"/>
        <rFont val="宋体"/>
        <charset val="134"/>
      </rPr>
      <t xml:space="preserve">                      2016年</t>
    </r>
    <r>
      <rPr>
        <b/>
        <sz val="24"/>
        <rFont val="宋体"/>
        <charset val="134"/>
      </rPr>
      <t xml:space="preserve">课题立项、结题统计表
</t>
    </r>
    <r>
      <rPr>
        <b/>
        <sz val="24"/>
        <color indexed="10"/>
        <rFont val="宋体"/>
        <charset val="134"/>
      </rPr>
      <t>注:1、请(主持人)填写，必须填写完整不要有空的单元格，（具体格式见“示例”一行）
   2、通过学院科技处申报的立项、结题不必填写</t>
    </r>
  </si>
  <si>
    <t>审批单位</t>
  </si>
  <si>
    <t>课题名称</t>
  </si>
  <si>
    <t>立项时间</t>
  </si>
  <si>
    <t>结题时间</t>
  </si>
  <si>
    <t>课题研究人员</t>
  </si>
  <si>
    <t>本人排名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</si>
  <si>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****</t>
    </r>
  </si>
  <si>
    <t>督导处</t>
  </si>
  <si>
    <t>******</t>
  </si>
  <si>
    <t>*******</t>
  </si>
  <si>
    <t>第一人</t>
  </si>
  <si>
    <t>第二人、第三人</t>
  </si>
  <si>
    <r>
      <rPr>
        <b/>
        <sz val="24"/>
        <rFont val="宋体"/>
        <charset val="134"/>
      </rPr>
      <t>2016年</t>
    </r>
    <r>
      <rPr>
        <b/>
        <sz val="24"/>
        <rFont val="宋体"/>
        <charset val="134"/>
      </rPr>
      <t>教师知识咨询情况统计表</t>
    </r>
    <r>
      <rPr>
        <b/>
        <sz val="18"/>
        <rFont val="宋体"/>
        <charset val="134"/>
      </rPr>
      <t xml:space="preserve">
注:</t>
    </r>
    <r>
      <rPr>
        <b/>
        <sz val="16"/>
        <color indexed="9"/>
        <rFont val="宋体"/>
        <charset val="134"/>
      </rPr>
      <t>必须填写完整不要有空的单元格</t>
    </r>
  </si>
  <si>
    <r>
      <rPr>
        <b/>
        <sz val="11"/>
        <rFont val="宋体"/>
        <charset val="134"/>
      </rPr>
      <t>教师姓名</t>
    </r>
    <r>
      <rPr>
        <b/>
        <sz val="11"/>
        <color indexed="10"/>
        <rFont val="宋体"/>
        <charset val="134"/>
      </rPr>
      <t>（多名教师同时去同一地点的，可填写在同一行内，连续填写，不要回车）</t>
    </r>
  </si>
  <si>
    <t>所属系部</t>
  </si>
  <si>
    <t>所学专业</t>
  </si>
  <si>
    <t>教师开展知识咨询情况</t>
  </si>
  <si>
    <t>服务单位名称</t>
  </si>
  <si>
    <t>咨询起止时间</t>
  </si>
  <si>
    <r>
      <rPr>
        <b/>
        <sz val="12"/>
        <rFont val="宋体"/>
        <charset val="134"/>
      </rPr>
      <t>具体天数</t>
    </r>
    <r>
      <rPr>
        <b/>
        <sz val="12"/>
        <color indexed="10"/>
        <rFont val="宋体"/>
        <charset val="134"/>
      </rPr>
      <t>（人数乘天数）如5人去3天，则表内填15</t>
    </r>
  </si>
  <si>
    <t>服务主要内容</t>
  </si>
  <si>
    <t>咨询人数</t>
  </si>
  <si>
    <r>
      <rPr>
        <b/>
        <sz val="12"/>
        <rFont val="宋体"/>
        <charset val="134"/>
      </rPr>
      <t>佐证材料</t>
    </r>
    <r>
      <rPr>
        <b/>
        <sz val="12"/>
        <color indexed="10"/>
        <rFont val="宋体"/>
        <charset val="134"/>
      </rPr>
      <t>（佐证材料可填写照片、简讯、单位反馈意见表、聘书等）</t>
    </r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</si>
  <si>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***</t>
    </r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</si>
  <si>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*****</t>
    </r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</si>
  <si>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</si>
  <si>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r>
      <rPr>
        <b/>
        <sz val="24"/>
        <rFont val="宋体"/>
        <charset val="134"/>
      </rPr>
      <t>2016年</t>
    </r>
    <r>
      <rPr>
        <b/>
        <sz val="24"/>
        <rFont val="宋体"/>
        <charset val="134"/>
      </rPr>
      <t>教师技术服务情况统计表</t>
    </r>
    <r>
      <rPr>
        <b/>
        <sz val="18"/>
        <rFont val="宋体"/>
        <charset val="134"/>
      </rPr>
      <t xml:space="preserve">
</t>
    </r>
    <r>
      <rPr>
        <b/>
        <sz val="24"/>
        <rFont val="宋体"/>
        <charset val="134"/>
      </rPr>
      <t>注:</t>
    </r>
    <r>
      <rPr>
        <b/>
        <sz val="20"/>
        <color indexed="9"/>
        <rFont val="宋体"/>
        <charset val="134"/>
      </rPr>
      <t>必须填写完整不要有空的单元格</t>
    </r>
  </si>
  <si>
    <t>教师开展技术服务情况</t>
  </si>
  <si>
    <t>技术服务起止时间</t>
  </si>
  <si>
    <t>服务的主要内容</t>
  </si>
  <si>
    <t>服务对象人数</t>
  </si>
  <si>
    <t>俄语</t>
  </si>
  <si>
    <t>佳木斯市商务局</t>
  </si>
  <si>
    <t>2012年3月28日-4月1日</t>
  </si>
  <si>
    <t>接待俄商、翻译、陪同</t>
  </si>
  <si>
    <t>照片</t>
  </si>
  <si>
    <t>2014年教师著作、论文等获奖（全院）数量统计表</t>
  </si>
  <si>
    <t>农学院</t>
  </si>
  <si>
    <t>建筑工
程学院</t>
  </si>
  <si>
    <t>信息工
程学院</t>
  </si>
  <si>
    <t>生物工
程学院</t>
  </si>
  <si>
    <t>动物科
技学院</t>
  </si>
  <si>
    <t>机电工
程学院</t>
  </si>
  <si>
    <t>经贸
学院</t>
  </si>
  <si>
    <t>外国语
学院</t>
  </si>
  <si>
    <t>马克思
主义理
论课教
学部</t>
  </si>
  <si>
    <t>军事体育教学部</t>
  </si>
  <si>
    <t>教务处</t>
  </si>
  <si>
    <t>学工处</t>
  </si>
  <si>
    <t>示范办</t>
  </si>
  <si>
    <t>实验中心</t>
  </si>
  <si>
    <t>组织部</t>
  </si>
  <si>
    <t>宣传部</t>
  </si>
  <si>
    <t>院办</t>
  </si>
  <si>
    <t>人事处</t>
  </si>
  <si>
    <t>招生就业处</t>
  </si>
  <si>
    <t>总务处</t>
  </si>
  <si>
    <t>保卫处</t>
  </si>
  <si>
    <t>图书馆</t>
  </si>
  <si>
    <t>职业技能鉴定培训中心</t>
  </si>
  <si>
    <t>资产管理科</t>
  </si>
  <si>
    <t>工会</t>
  </si>
  <si>
    <t>财务处</t>
  </si>
  <si>
    <t>技师学院</t>
  </si>
  <si>
    <t>学院领导</t>
  </si>
  <si>
    <t>总数</t>
  </si>
  <si>
    <t>论    文</t>
  </si>
  <si>
    <t>著    作</t>
  </si>
  <si>
    <t>科研成果</t>
  </si>
  <si>
    <t>论文评奖</t>
  </si>
  <si>
    <t>教师参赛获奖</t>
  </si>
  <si>
    <t>多媒体课件获奖</t>
  </si>
  <si>
    <t>品种审定</t>
  </si>
  <si>
    <t>专    利</t>
  </si>
  <si>
    <t>教师知识咨询</t>
  </si>
  <si>
    <t>教师技术服务</t>
  </si>
  <si>
    <t>课题立项、结题</t>
  </si>
  <si>
    <t>课题立项</t>
  </si>
  <si>
    <t>课题结题</t>
  </si>
  <si>
    <t>教材
论文
统计</t>
  </si>
  <si>
    <t>教材第一主编（本）</t>
  </si>
  <si>
    <t>教材总计（本）</t>
  </si>
  <si>
    <t>参加编写人次</t>
  </si>
  <si>
    <t>主审人数</t>
  </si>
  <si>
    <t>论文第一作者数量</t>
  </si>
  <si>
    <t>论文总计</t>
  </si>
  <si>
    <t>立项
结题
（按项填写）</t>
  </si>
  <si>
    <t>立项单位</t>
  </si>
  <si>
    <t>立项申报数量</t>
  </si>
  <si>
    <t>立项数量</t>
  </si>
  <si>
    <t>结题单位</t>
  </si>
  <si>
    <t>结题申报数量</t>
  </si>
  <si>
    <t>结题数量</t>
  </si>
  <si>
    <t>黑龙江省高等教育学会（高等教育科学研究“十二五”规划课题）</t>
  </si>
  <si>
    <t>黑龙江省教育厅（黑龙江省高等教育教学改革项目）</t>
  </si>
  <si>
    <t>佳木斯市科研课题规划办公室</t>
  </si>
  <si>
    <t>教育部职业院校外语类专业教学指导委员会</t>
  </si>
  <si>
    <t>省教育科学“十二五”规划2016年度研究团队专项课题</t>
  </si>
  <si>
    <r>
      <rPr>
        <sz val="12"/>
        <rFont val="宋体"/>
        <charset val="134"/>
      </rPr>
      <t>省教育科学“十二五”规划201</t>
    </r>
    <r>
      <rPr>
        <sz val="12"/>
        <rFont val="宋体"/>
        <charset val="134"/>
      </rPr>
      <t>6</t>
    </r>
    <r>
      <rPr>
        <sz val="12"/>
        <rFont val="宋体"/>
        <charset val="134"/>
      </rPr>
      <t xml:space="preserve">年度课题备案项目2项
</t>
    </r>
  </si>
  <si>
    <t>省高校思想政治教育研究会科研课题申报</t>
  </si>
  <si>
    <t>省教育科学规划重点课题</t>
  </si>
  <si>
    <t>获奖
教师参赛
（按项填写）</t>
  </si>
  <si>
    <t>获奖奖励单位</t>
  </si>
  <si>
    <t>获奖申报数量</t>
  </si>
  <si>
    <t>获奖数量</t>
  </si>
  <si>
    <t>教师参赛奖励单位</t>
  </si>
  <si>
    <t>教师参赛申报数量</t>
  </si>
  <si>
    <t>教师参赛获奖数量</t>
  </si>
  <si>
    <t>技术服务</t>
  </si>
  <si>
    <t>科技服务人次数</t>
  </si>
  <si>
    <t>咨询对象人数</t>
  </si>
  <si>
    <t>技术服务对象人数</t>
  </si>
  <si>
    <t>专利</t>
  </si>
  <si>
    <t>发明专利项数</t>
  </si>
  <si>
    <t>发明专利参加人数</t>
  </si>
  <si>
    <t>我校为第一单位项数</t>
  </si>
  <si>
    <t>实用新型专利项数</t>
  </si>
  <si>
    <t>实用新型专利参加人数</t>
  </si>
  <si>
    <t>建筑工程学院</t>
  </si>
  <si>
    <t>生物工程学院</t>
  </si>
  <si>
    <t>动物科技学院</t>
  </si>
  <si>
    <t>经贸学院</t>
  </si>
  <si>
    <t>马克思主义理论课教学部</t>
  </si>
  <si>
    <t>应用技术学院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</si>
</sst>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5"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24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b/>
      <sz val="1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2"/>
      <color indexed="10"/>
      <name val="宋体"/>
      <charset val="134"/>
    </font>
    <font>
      <sz val="12"/>
      <name val="Times New Roman"/>
      <charset val="134"/>
    </font>
    <font>
      <b/>
      <sz val="26"/>
      <name val="宋体"/>
      <charset val="134"/>
    </font>
    <font>
      <sz val="10.5"/>
      <name val="宋体"/>
      <charset val="134"/>
    </font>
    <font>
      <sz val="24"/>
      <name val="宋体"/>
      <charset val="134"/>
    </font>
    <font>
      <sz val="10.5"/>
      <color indexed="8"/>
      <name val="宋体"/>
      <charset val="134"/>
    </font>
    <font>
      <b/>
      <sz val="11"/>
      <name val="Times New Roman"/>
      <charset val="134"/>
    </font>
    <font>
      <sz val="24"/>
      <name val="Times New Roman"/>
      <charset val="134"/>
    </font>
    <font>
      <sz val="10.5"/>
      <name val="Times New Roman"/>
      <charset val="134"/>
    </font>
    <font>
      <b/>
      <sz val="22"/>
      <name val="黑体"/>
      <charset val="134"/>
    </font>
    <font>
      <b/>
      <sz val="16"/>
      <color indexed="10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b/>
      <sz val="20"/>
      <name val="黑体"/>
      <charset val="134"/>
    </font>
    <font>
      <b/>
      <sz val="20"/>
      <color indexed="10"/>
      <name val="宋体"/>
      <charset val="134"/>
    </font>
    <font>
      <sz val="12"/>
      <color rgb="FF000000"/>
      <name val="宋体"/>
      <charset val="134"/>
    </font>
    <font>
      <sz val="12"/>
      <name val="仿宋_GB2312"/>
      <charset val="134"/>
    </font>
    <font>
      <sz val="12"/>
      <color indexed="63"/>
      <name val="宋体"/>
      <charset val="134"/>
    </font>
    <font>
      <sz val="12"/>
      <name val="Calibri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indexed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indexed="9"/>
      <name val="宋体"/>
      <charset val="134"/>
    </font>
    <font>
      <b/>
      <sz val="11"/>
      <color indexed="10"/>
      <name val="宋体"/>
      <charset val="134"/>
    </font>
    <font>
      <b/>
      <sz val="12"/>
      <color indexed="10"/>
      <name val="宋体"/>
      <charset val="134"/>
    </font>
    <font>
      <b/>
      <sz val="16"/>
      <color indexed="9"/>
      <name val="宋体"/>
      <charset val="134"/>
    </font>
    <font>
      <b/>
      <sz val="24"/>
      <color indexed="10"/>
      <name val="宋体"/>
      <charset val="134"/>
    </font>
    <font>
      <b/>
      <sz val="22"/>
      <name val="宋体"/>
      <charset val="134"/>
    </font>
    <font>
      <b/>
      <sz val="12"/>
      <color indexed="9"/>
      <name val="宋体"/>
      <charset val="134"/>
    </font>
    <font>
      <b/>
      <sz val="24"/>
      <name val="Times New Roman"/>
      <charset val="134"/>
    </font>
    <font>
      <b/>
      <sz val="24"/>
      <color indexed="10"/>
      <name val="Times New Roman"/>
      <charset val="134"/>
    </font>
    <font>
      <b/>
      <sz val="10"/>
      <name val="Times New Roman"/>
      <charset val="134"/>
    </font>
    <font>
      <b/>
      <sz val="12"/>
      <name val="Times New Roman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5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6" fillId="27" borderId="19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15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38" borderId="24" applyNumberFormat="0" applyFont="0" applyAlignment="0" applyProtection="0">
      <alignment vertical="center"/>
    </xf>
    <xf numFmtId="0" fontId="0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7" fillId="21" borderId="22" applyNumberFormat="0" applyAlignment="0" applyProtection="0">
      <alignment vertical="center"/>
    </xf>
    <xf numFmtId="0" fontId="41" fillId="21" borderId="19" applyNumberFormat="0" applyAlignment="0" applyProtection="0">
      <alignment vertical="center"/>
    </xf>
    <xf numFmtId="0" fontId="52" fillId="37" borderId="23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42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3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3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1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9" borderId="1" xfId="0" applyFill="1" applyBorder="1">
      <alignment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49" fontId="0" fillId="1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11" borderId="1" xfId="0" applyNumberFormat="1" applyFont="1" applyFill="1" applyBorder="1" applyAlignment="1">
      <alignment horizontal="center" vertical="center" wrapText="1"/>
    </xf>
    <xf numFmtId="49" fontId="0" fillId="11" borderId="1" xfId="0" applyNumberFormat="1" applyFont="1" applyFill="1" applyBorder="1" applyAlignment="1">
      <alignment horizontal="center" vertical="center"/>
    </xf>
    <xf numFmtId="0" fontId="0" fillId="11" borderId="1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12" borderId="1" xfId="0" applyNumberFormat="1" applyFont="1" applyFill="1" applyBorder="1" applyAlignment="1">
      <alignment horizontal="center" vertical="center" wrapText="1"/>
    </xf>
    <xf numFmtId="49" fontId="0" fillId="1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5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10" borderId="1" xfId="0" applyFont="1" applyFill="1" applyBorder="1">
      <alignment vertical="center"/>
    </xf>
    <xf numFmtId="0" fontId="0" fillId="1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49" fontId="9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10" borderId="1" xfId="5" applyNumberFormat="1" applyFont="1" applyFill="1" applyBorder="1" applyAlignment="1" applyProtection="1">
      <alignment horizontal="center" vertical="center" wrapText="1"/>
    </xf>
    <xf numFmtId="49" fontId="8" fillId="10" borderId="1" xfId="5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8" fillId="10" borderId="14" xfId="5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0" fillId="2" borderId="9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5" fillId="2" borderId="0" xfId="0" applyNumberFormat="1" applyFont="1" applyFill="1" applyAlignment="1" applyProtection="1">
      <alignment horizontal="center" vertical="center" wrapText="1"/>
      <protection hidden="1"/>
    </xf>
    <xf numFmtId="49" fontId="22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23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10" borderId="1" xfId="0" applyNumberFormat="1" applyFill="1" applyBorder="1" applyAlignment="1" applyProtection="1">
      <alignment horizontal="center" vertical="center" wrapText="1"/>
      <protection hidden="1"/>
    </xf>
    <xf numFmtId="0" fontId="0" fillId="1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1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" xfId="22" applyNumberFormat="1" applyFont="1" applyBorder="1" applyAlignment="1">
      <alignment horizontal="center" vertical="center" wrapText="1"/>
    </xf>
    <xf numFmtId="0" fontId="0" fillId="0" borderId="0" xfId="22" applyFont="1" applyBorder="1" applyAlignment="1">
      <alignment horizontal="center" vertical="center" wrapText="1"/>
    </xf>
    <xf numFmtId="49" fontId="0" fillId="0" borderId="1" xfId="22" applyNumberFormat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22" applyNumberForma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6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27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8" fillId="10" borderId="1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Alignment="1">
      <alignment horizontal="center" vertical="center" wrapText="1"/>
    </xf>
    <xf numFmtId="49" fontId="8" fillId="0" borderId="3" xfId="54" applyNumberFormat="1" applyFont="1" applyFill="1" applyBorder="1" applyAlignment="1" applyProtection="1">
      <alignment horizontal="center" vertical="center" wrapText="1"/>
    </xf>
    <xf numFmtId="49" fontId="28" fillId="0" borderId="1" xfId="54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>
      <alignment horizontal="justify" vertical="center"/>
    </xf>
    <xf numFmtId="49" fontId="0" fillId="0" borderId="3" xfId="54" applyNumberFormat="1" applyFont="1" applyFill="1" applyBorder="1" applyAlignment="1" applyProtection="1">
      <alignment horizontal="center" vertical="center" wrapText="1"/>
    </xf>
    <xf numFmtId="49" fontId="8" fillId="0" borderId="1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54" applyNumberFormat="1" applyFont="1" applyBorder="1" applyAlignment="1" applyProtection="1">
      <alignment horizontal="center" vertical="center" wrapText="1"/>
    </xf>
    <xf numFmtId="49" fontId="8" fillId="0" borderId="1" xfId="5" applyNumberFormat="1" applyFont="1" applyBorder="1" applyAlignment="1" applyProtection="1">
      <alignment horizontal="center" vertical="center" wrapText="1"/>
    </xf>
    <xf numFmtId="49" fontId="8" fillId="0" borderId="3" xfId="54" applyNumberFormat="1" applyFont="1" applyBorder="1" applyAlignment="1" applyProtection="1">
      <alignment horizontal="center" vertical="center" wrapText="1"/>
    </xf>
    <xf numFmtId="49" fontId="8" fillId="0" borderId="3" xfId="5" applyNumberFormat="1" applyFont="1" applyBorder="1" applyAlignment="1" applyProtection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8" fillId="0" borderId="15" xfId="54" applyNumberFormat="1" applyFont="1" applyBorder="1" applyAlignment="1" applyProtection="1">
      <alignment horizontal="center" vertical="center" wrapText="1"/>
    </xf>
    <xf numFmtId="49" fontId="8" fillId="0" borderId="16" xfId="5" applyNumberFormat="1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4" fillId="1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论文评奖" xfId="5"/>
    <cellStyle name="千位分隔[0]" xfId="6" builtinId="6"/>
    <cellStyle name="超链接 6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超链接 4" xfId="40"/>
    <cellStyle name="40% - 强调文字颜色 1" xfId="41" builtinId="31"/>
    <cellStyle name="20% - 强调文字颜色 2" xfId="42" builtinId="34"/>
    <cellStyle name="超链接 5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超链接 7" xfId="48"/>
    <cellStyle name="40% - 强调文字颜色 4" xfId="49" builtinId="43"/>
    <cellStyle name="强调文字颜色 5" xfId="50" builtinId="45"/>
    <cellStyle name="超链接 8" xfId="51"/>
    <cellStyle name="40% - 强调文字颜色 5" xfId="52" builtinId="47"/>
    <cellStyle name="60% - 强调文字颜色 5" xfId="53" builtinId="48"/>
    <cellStyle name="常规_论文_4" xfId="54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5" xfId="61"/>
    <cellStyle name="常规 7" xfId="62"/>
    <cellStyle name="超链接 2" xfId="63"/>
    <cellStyle name="超链接 3" xfId="64"/>
  </cellStyles>
  <dxfs count="2">
    <dxf>
      <font>
        <b val="1"/>
        <i val="0"/>
        <color auto="1"/>
      </font>
      <fill>
        <patternFill patternType="solid">
          <bgColor indexed="13"/>
        </patternFill>
      </fill>
    </dxf>
    <dxf>
      <font>
        <b val="0"/>
        <i val="0"/>
        <color indexed="9"/>
      </font>
    </dxf>
  </dxfs>
  <tableStyles count="0" defaultTableStyle="TableStyleMedium9"/>
  <colors>
    <mruColors>
      <color rgb="00FF99CC"/>
      <color rgb="00FFCC99"/>
      <color rgb="0099CC00"/>
      <color rgb="00FFFF99"/>
      <color rgb="00CC99FF"/>
      <color rgb="00C0C0C0"/>
      <color rgb="00FF0000"/>
      <color rgb="00FFFF00"/>
      <color rgb="0000CC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A1:J45"/>
  <sheetViews>
    <sheetView zoomScale="85" zoomScaleNormal="85" topLeftCell="A4" workbookViewId="0">
      <selection activeCell="B5" sqref="B5:H7"/>
    </sheetView>
  </sheetViews>
  <sheetFormatPr defaultColWidth="9" defaultRowHeight="14.25"/>
  <cols>
    <col min="1" max="1" width="4.875" style="138" customWidth="1"/>
    <col min="2" max="2" width="8.125" style="138" customWidth="1"/>
    <col min="3" max="3" width="24" style="138" customWidth="1"/>
    <col min="4" max="4" width="12.625" style="138" customWidth="1"/>
    <col min="5" max="5" width="34" style="138" customWidth="1"/>
    <col min="6" max="6" width="18.625" style="138" customWidth="1"/>
    <col min="7" max="7" width="20.125" style="138" customWidth="1"/>
    <col min="8" max="8" width="28" style="138" customWidth="1"/>
    <col min="9" max="9" width="11.25" style="138" customWidth="1"/>
    <col min="10" max="10" width="13.375" style="138" customWidth="1"/>
    <col min="11" max="16384" width="9" style="138"/>
  </cols>
  <sheetData>
    <row r="1" ht="45" customHeight="1" spans="1:10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</row>
    <row r="2" ht="58.5" customHeight="1" spans="1:10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</row>
    <row r="3" ht="34.5" customHeight="1" spans="1:10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 t="s">
        <v>8</v>
      </c>
      <c r="H3" s="44" t="s">
        <v>9</v>
      </c>
      <c r="I3" s="185" t="s">
        <v>10</v>
      </c>
      <c r="J3" s="185" t="s">
        <v>11</v>
      </c>
    </row>
    <row r="4" s="160" customFormat="1" ht="30" customHeight="1" spans="1:10">
      <c r="A4" s="167" t="s">
        <v>12</v>
      </c>
      <c r="B4" s="167" t="s">
        <v>13</v>
      </c>
      <c r="C4" s="167" t="s">
        <v>14</v>
      </c>
      <c r="D4" s="167" t="s">
        <v>15</v>
      </c>
      <c r="E4" s="167"/>
      <c r="F4" s="167" t="s">
        <v>16</v>
      </c>
      <c r="G4" s="167" t="s">
        <v>17</v>
      </c>
      <c r="H4" s="167" t="s">
        <v>18</v>
      </c>
      <c r="I4" s="186"/>
      <c r="J4" s="186"/>
    </row>
    <row r="5" s="161" customFormat="1" ht="30" customHeight="1" spans="1:10">
      <c r="A5" s="168">
        <v>1</v>
      </c>
      <c r="B5" s="169" t="s">
        <v>19</v>
      </c>
      <c r="C5" s="169" t="s">
        <v>20</v>
      </c>
      <c r="D5" s="169" t="s">
        <v>15</v>
      </c>
      <c r="E5" s="169" t="s">
        <v>21</v>
      </c>
      <c r="F5" s="170" t="s">
        <v>22</v>
      </c>
      <c r="G5" s="171" t="s">
        <v>23</v>
      </c>
      <c r="H5" s="172" t="s">
        <v>24</v>
      </c>
      <c r="I5" s="62"/>
      <c r="J5" s="62"/>
    </row>
    <row r="6" s="161" customFormat="1" ht="30" customHeight="1" spans="1:10">
      <c r="A6" s="168">
        <v>2</v>
      </c>
      <c r="B6" s="173" t="s">
        <v>25</v>
      </c>
      <c r="C6" s="173" t="s">
        <v>20</v>
      </c>
      <c r="D6" s="173" t="s">
        <v>15</v>
      </c>
      <c r="E6" s="173" t="s">
        <v>26</v>
      </c>
      <c r="F6" s="173" t="s">
        <v>27</v>
      </c>
      <c r="G6" s="173" t="s">
        <v>28</v>
      </c>
      <c r="H6" s="173" t="s">
        <v>29</v>
      </c>
      <c r="I6" s="114"/>
      <c r="J6" s="114"/>
    </row>
    <row r="7" s="162" customFormat="1" ht="30" customHeight="1" spans="1:10">
      <c r="A7" s="168">
        <v>3</v>
      </c>
      <c r="B7" s="173"/>
      <c r="C7" s="173"/>
      <c r="D7" s="173"/>
      <c r="E7" s="173"/>
      <c r="F7" s="173"/>
      <c r="G7" s="173"/>
      <c r="H7" s="173"/>
      <c r="I7" s="114"/>
      <c r="J7" s="114"/>
    </row>
    <row r="8" s="162" customFormat="1" ht="30" customHeight="1" spans="1:10">
      <c r="A8" s="168">
        <v>4</v>
      </c>
      <c r="B8" s="174"/>
      <c r="C8" s="174"/>
      <c r="D8" s="174"/>
      <c r="E8" s="174"/>
      <c r="F8" s="175"/>
      <c r="G8" s="174"/>
      <c r="H8" s="174"/>
      <c r="I8" s="114"/>
      <c r="J8" s="187"/>
    </row>
    <row r="9" s="161" customFormat="1" ht="30" customHeight="1" spans="1:10">
      <c r="A9" s="168">
        <v>5</v>
      </c>
      <c r="B9" s="174"/>
      <c r="C9" s="174"/>
      <c r="D9" s="174"/>
      <c r="E9" s="174"/>
      <c r="F9" s="175"/>
      <c r="G9" s="174"/>
      <c r="H9" s="174"/>
      <c r="I9" s="114"/>
      <c r="J9" s="114"/>
    </row>
    <row r="10" s="161" customFormat="1" ht="30" customHeight="1" spans="1:10">
      <c r="A10" s="168">
        <v>6</v>
      </c>
      <c r="B10" s="176"/>
      <c r="C10" s="176"/>
      <c r="D10" s="176"/>
      <c r="E10" s="176"/>
      <c r="F10" s="177"/>
      <c r="G10" s="176"/>
      <c r="H10" s="176"/>
      <c r="I10" s="114"/>
      <c r="J10" s="114"/>
    </row>
    <row r="11" s="161" customFormat="1" ht="30" customHeight="1" spans="1:10">
      <c r="A11" s="168">
        <v>7</v>
      </c>
      <c r="B11" s="174"/>
      <c r="C11" s="174"/>
      <c r="D11" s="174"/>
      <c r="E11" s="114"/>
      <c r="F11" s="175"/>
      <c r="G11" s="174"/>
      <c r="H11" s="178"/>
      <c r="I11" s="114"/>
      <c r="J11" s="114"/>
    </row>
    <row r="12" s="163" customFormat="1" ht="30" customHeight="1" spans="1:10">
      <c r="A12" s="168">
        <v>8</v>
      </c>
      <c r="B12" s="114"/>
      <c r="C12" s="114"/>
      <c r="D12" s="114"/>
      <c r="E12" s="114"/>
      <c r="F12" s="114"/>
      <c r="G12" s="114"/>
      <c r="H12" s="179"/>
      <c r="I12" s="188"/>
      <c r="J12" s="188"/>
    </row>
    <row r="13" s="163" customFormat="1" ht="30" customHeight="1" spans="1:10">
      <c r="A13" s="168">
        <v>9</v>
      </c>
      <c r="B13" s="114"/>
      <c r="C13" s="114"/>
      <c r="D13" s="114"/>
      <c r="E13" s="114"/>
      <c r="F13" s="114"/>
      <c r="G13" s="114"/>
      <c r="H13" s="114"/>
      <c r="I13" s="188"/>
      <c r="J13" s="188"/>
    </row>
    <row r="14" s="164" customFormat="1" ht="30" customHeight="1" spans="1:10">
      <c r="A14" s="168">
        <v>10</v>
      </c>
      <c r="B14" s="174"/>
      <c r="C14" s="174"/>
      <c r="D14" s="174"/>
      <c r="E14" s="174"/>
      <c r="F14" s="175"/>
      <c r="G14" s="174"/>
      <c r="H14" s="174"/>
      <c r="I14" s="108"/>
      <c r="J14" s="108"/>
    </row>
    <row r="15" s="164" customFormat="1" ht="30" customHeight="1" spans="1:10">
      <c r="A15" s="168">
        <v>11</v>
      </c>
      <c r="B15" s="174"/>
      <c r="C15" s="174"/>
      <c r="D15" s="174"/>
      <c r="E15" s="174"/>
      <c r="F15" s="175"/>
      <c r="G15" s="174"/>
      <c r="H15" s="174"/>
      <c r="I15" s="108"/>
      <c r="J15" s="108"/>
    </row>
    <row r="16" s="164" customFormat="1" ht="30" customHeight="1" spans="1:10">
      <c r="A16" s="168">
        <v>12</v>
      </c>
      <c r="B16" s="176"/>
      <c r="C16" s="176"/>
      <c r="D16" s="176"/>
      <c r="E16" s="176"/>
      <c r="F16" s="177"/>
      <c r="G16" s="176"/>
      <c r="H16" s="176"/>
      <c r="I16" s="108"/>
      <c r="J16" s="108"/>
    </row>
    <row r="17" s="164" customFormat="1" ht="30" customHeight="1" spans="1:10">
      <c r="A17" s="168">
        <v>13</v>
      </c>
      <c r="B17" s="174"/>
      <c r="C17" s="174"/>
      <c r="D17" s="174"/>
      <c r="E17" s="174"/>
      <c r="F17" s="175"/>
      <c r="G17" s="174"/>
      <c r="H17" s="174"/>
      <c r="I17" s="108"/>
      <c r="J17" s="108"/>
    </row>
    <row r="18" s="164" customFormat="1" ht="30" customHeight="1" spans="1:10">
      <c r="A18" s="168">
        <v>14</v>
      </c>
      <c r="B18" s="174"/>
      <c r="C18" s="174"/>
      <c r="D18" s="174"/>
      <c r="E18" s="174"/>
      <c r="F18" s="175"/>
      <c r="G18" s="174"/>
      <c r="H18" s="174"/>
      <c r="I18" s="108"/>
      <c r="J18" s="108"/>
    </row>
    <row r="19" s="164" customFormat="1" ht="30" customHeight="1" spans="1:10">
      <c r="A19" s="168">
        <v>15</v>
      </c>
      <c r="B19" s="174"/>
      <c r="C19" s="174"/>
      <c r="D19" s="174"/>
      <c r="E19" s="174"/>
      <c r="F19" s="175"/>
      <c r="G19" s="174"/>
      <c r="H19" s="174"/>
      <c r="I19" s="114"/>
      <c r="J19" s="108"/>
    </row>
    <row r="20" s="164" customFormat="1" ht="30" customHeight="1" spans="1:10">
      <c r="A20" s="168">
        <v>16</v>
      </c>
      <c r="B20" s="174"/>
      <c r="C20" s="174"/>
      <c r="D20" s="174"/>
      <c r="E20" s="114"/>
      <c r="F20" s="175"/>
      <c r="G20" s="174"/>
      <c r="H20" s="178"/>
      <c r="I20" s="114"/>
      <c r="J20" s="108"/>
    </row>
    <row r="21" s="164" customFormat="1" ht="30" customHeight="1" spans="1:10">
      <c r="A21" s="168">
        <v>17</v>
      </c>
      <c r="B21" s="174"/>
      <c r="C21" s="174"/>
      <c r="D21" s="174"/>
      <c r="E21" s="174"/>
      <c r="F21" s="175"/>
      <c r="G21" s="174"/>
      <c r="H21" s="174"/>
      <c r="I21" s="188"/>
      <c r="J21" s="108"/>
    </row>
    <row r="22" s="164" customFormat="1" ht="30" customHeight="1" spans="1:10">
      <c r="A22" s="168">
        <v>18</v>
      </c>
      <c r="B22" s="174"/>
      <c r="C22" s="174"/>
      <c r="D22" s="174"/>
      <c r="E22" s="174"/>
      <c r="F22" s="174"/>
      <c r="G22" s="174"/>
      <c r="H22" s="174"/>
      <c r="I22" s="114"/>
      <c r="J22" s="108"/>
    </row>
    <row r="23" s="164" customFormat="1" ht="30" customHeight="1" spans="1:10">
      <c r="A23" s="168">
        <v>19</v>
      </c>
      <c r="B23" s="174"/>
      <c r="C23" s="174"/>
      <c r="D23" s="176"/>
      <c r="E23" s="174"/>
      <c r="F23" s="174"/>
      <c r="G23" s="174"/>
      <c r="H23" s="174"/>
      <c r="I23" s="114"/>
      <c r="J23" s="108"/>
    </row>
    <row r="24" s="164" customFormat="1" ht="30" customHeight="1" spans="1:10">
      <c r="A24" s="168">
        <v>20</v>
      </c>
      <c r="B24" s="174"/>
      <c r="C24" s="174"/>
      <c r="D24" s="176"/>
      <c r="E24" s="114"/>
      <c r="F24" s="174"/>
      <c r="G24" s="174"/>
      <c r="H24" s="174"/>
      <c r="I24" s="114"/>
      <c r="J24" s="108"/>
    </row>
    <row r="25" s="164" customFormat="1" ht="30" customHeight="1" spans="1:10">
      <c r="A25" s="168">
        <v>21</v>
      </c>
      <c r="B25" s="174"/>
      <c r="C25" s="174"/>
      <c r="D25" s="174"/>
      <c r="E25" s="174"/>
      <c r="F25" s="175"/>
      <c r="G25" s="174"/>
      <c r="H25" s="174"/>
      <c r="I25" s="188"/>
      <c r="J25" s="108"/>
    </row>
    <row r="26" s="164" customFormat="1" ht="30" customHeight="1" spans="1:10">
      <c r="A26" s="168">
        <v>22</v>
      </c>
      <c r="B26" s="174"/>
      <c r="C26" s="174"/>
      <c r="D26" s="174"/>
      <c r="E26" s="180"/>
      <c r="F26" s="175"/>
      <c r="G26" s="174"/>
      <c r="H26" s="174"/>
      <c r="I26" s="188"/>
      <c r="J26" s="108"/>
    </row>
    <row r="27" s="164" customFormat="1" ht="30" customHeight="1" spans="1:10">
      <c r="A27" s="168">
        <v>23</v>
      </c>
      <c r="B27" s="174"/>
      <c r="C27" s="174"/>
      <c r="D27" s="174"/>
      <c r="E27" s="174"/>
      <c r="F27" s="175"/>
      <c r="G27" s="174"/>
      <c r="H27" s="174"/>
      <c r="I27" s="108"/>
      <c r="J27" s="108"/>
    </row>
    <row r="28" s="164" customFormat="1" ht="30" customHeight="1" spans="1:10">
      <c r="A28" s="168">
        <v>24</v>
      </c>
      <c r="B28" s="174"/>
      <c r="C28" s="174"/>
      <c r="D28" s="174"/>
      <c r="E28" s="174"/>
      <c r="F28" s="175"/>
      <c r="G28" s="174"/>
      <c r="H28" s="174"/>
      <c r="I28" s="108"/>
      <c r="J28" s="108"/>
    </row>
    <row r="29" s="164" customFormat="1" ht="30" customHeight="1" spans="1:10">
      <c r="A29" s="168">
        <v>25</v>
      </c>
      <c r="B29" s="174"/>
      <c r="C29" s="174"/>
      <c r="D29" s="176"/>
      <c r="E29" s="176"/>
      <c r="F29" s="177"/>
      <c r="G29" s="176"/>
      <c r="H29" s="176"/>
      <c r="I29" s="108"/>
      <c r="J29" s="108"/>
    </row>
    <row r="30" s="164" customFormat="1" ht="30" customHeight="1" spans="1:10">
      <c r="A30" s="168">
        <v>26</v>
      </c>
      <c r="B30" s="174"/>
      <c r="C30" s="174"/>
      <c r="D30" s="174"/>
      <c r="E30" s="174"/>
      <c r="F30" s="175"/>
      <c r="G30" s="174"/>
      <c r="H30" s="174"/>
      <c r="I30" s="108"/>
      <c r="J30" s="108"/>
    </row>
    <row r="31" s="164" customFormat="1" ht="30" customHeight="1" spans="1:10">
      <c r="A31" s="168">
        <v>27</v>
      </c>
      <c r="B31" s="174"/>
      <c r="C31" s="174"/>
      <c r="D31" s="174"/>
      <c r="E31" s="174"/>
      <c r="F31" s="175"/>
      <c r="G31" s="174"/>
      <c r="H31" s="174"/>
      <c r="I31" s="108"/>
      <c r="J31" s="108"/>
    </row>
    <row r="32" s="164" customFormat="1" ht="30" customHeight="1" spans="1:10">
      <c r="A32" s="168">
        <v>28</v>
      </c>
      <c r="B32" s="173"/>
      <c r="C32" s="173"/>
      <c r="D32" s="173"/>
      <c r="E32" s="173"/>
      <c r="F32" s="173"/>
      <c r="G32" s="173"/>
      <c r="H32" s="173"/>
      <c r="I32" s="108"/>
      <c r="J32" s="108"/>
    </row>
    <row r="33" s="164" customFormat="1" ht="30" customHeight="1" spans="1:10">
      <c r="A33" s="168">
        <v>29</v>
      </c>
      <c r="B33" s="174"/>
      <c r="C33" s="174"/>
      <c r="D33" s="174"/>
      <c r="E33" s="176"/>
      <c r="F33" s="181"/>
      <c r="G33" s="174"/>
      <c r="H33" s="174"/>
      <c r="I33" s="108"/>
      <c r="J33" s="108"/>
    </row>
    <row r="34" s="164" customFormat="1" ht="30" customHeight="1" spans="1:10">
      <c r="A34" s="168">
        <v>30</v>
      </c>
      <c r="B34" s="176"/>
      <c r="C34" s="176"/>
      <c r="D34" s="182"/>
      <c r="E34" s="174"/>
      <c r="F34" s="183"/>
      <c r="G34" s="176"/>
      <c r="H34" s="176"/>
      <c r="I34" s="108"/>
      <c r="J34" s="108"/>
    </row>
    <row r="35" s="164" customFormat="1" ht="30" customHeight="1" spans="1:10">
      <c r="A35" s="168">
        <v>31</v>
      </c>
      <c r="B35" s="174"/>
      <c r="C35" s="174"/>
      <c r="D35" s="174"/>
      <c r="E35" s="184"/>
      <c r="F35" s="175"/>
      <c r="G35" s="174"/>
      <c r="H35" s="178"/>
      <c r="I35" s="108"/>
      <c r="J35" s="108"/>
    </row>
    <row r="36" s="164" customFormat="1" ht="30" customHeight="1" spans="1:10">
      <c r="A36" s="168">
        <v>32</v>
      </c>
      <c r="B36" s="174"/>
      <c r="C36" s="174"/>
      <c r="D36" s="174"/>
      <c r="E36" s="174"/>
      <c r="F36" s="175"/>
      <c r="G36" s="174"/>
      <c r="H36" s="174"/>
      <c r="I36" s="114"/>
      <c r="J36" s="114"/>
    </row>
    <row r="37" s="164" customFormat="1" ht="30" customHeight="1" spans="1:10">
      <c r="A37" s="168">
        <v>33</v>
      </c>
      <c r="B37" s="174"/>
      <c r="C37" s="174"/>
      <c r="D37" s="174"/>
      <c r="E37" s="174"/>
      <c r="F37" s="175"/>
      <c r="G37" s="174"/>
      <c r="H37" s="174"/>
      <c r="I37" s="108"/>
      <c r="J37" s="108"/>
    </row>
    <row r="38" s="164" customFormat="1" ht="30" customHeight="1" spans="1:10">
      <c r="A38" s="168">
        <v>34</v>
      </c>
      <c r="B38" s="176"/>
      <c r="C38" s="176"/>
      <c r="D38" s="176"/>
      <c r="E38" s="176"/>
      <c r="F38" s="177"/>
      <c r="G38" s="176"/>
      <c r="H38" s="176"/>
      <c r="I38" s="108"/>
      <c r="J38" s="108"/>
    </row>
    <row r="39" s="164" customFormat="1" ht="30" customHeight="1" spans="1:10">
      <c r="A39" s="168">
        <v>35</v>
      </c>
      <c r="B39" s="174"/>
      <c r="C39" s="174"/>
      <c r="D39" s="174"/>
      <c r="E39" s="114"/>
      <c r="F39" s="175"/>
      <c r="G39" s="174"/>
      <c r="H39" s="178"/>
      <c r="I39" s="108"/>
      <c r="J39" s="108"/>
    </row>
    <row r="40" s="164" customFormat="1" ht="30" customHeight="1" spans="1:10">
      <c r="A40" s="168">
        <v>36</v>
      </c>
      <c r="B40" s="174"/>
      <c r="C40" s="174"/>
      <c r="D40" s="174"/>
      <c r="E40" s="114"/>
      <c r="F40" s="114"/>
      <c r="G40" s="114"/>
      <c r="H40" s="114"/>
      <c r="I40" s="108"/>
      <c r="J40" s="108"/>
    </row>
    <row r="41" s="164" customFormat="1" ht="30" customHeight="1" spans="1:10">
      <c r="A41" s="168">
        <v>37</v>
      </c>
      <c r="B41" s="174"/>
      <c r="C41" s="174"/>
      <c r="D41" s="174"/>
      <c r="E41" s="174"/>
      <c r="F41" s="175"/>
      <c r="G41" s="174"/>
      <c r="H41" s="174"/>
      <c r="I41" s="108"/>
      <c r="J41" s="108"/>
    </row>
    <row r="42" s="164" customFormat="1" ht="30" customHeight="1" spans="1:10">
      <c r="A42" s="168">
        <v>38</v>
      </c>
      <c r="B42" s="176"/>
      <c r="C42" s="176"/>
      <c r="D42" s="176"/>
      <c r="E42" s="176"/>
      <c r="F42" s="177"/>
      <c r="G42" s="176"/>
      <c r="H42" s="176"/>
      <c r="I42" s="108"/>
      <c r="J42" s="108"/>
    </row>
    <row r="43" s="164" customFormat="1" ht="30" customHeight="1" spans="1:10">
      <c r="A43" s="168">
        <v>39</v>
      </c>
      <c r="B43" s="174"/>
      <c r="C43" s="174"/>
      <c r="D43" s="174"/>
      <c r="E43" s="114"/>
      <c r="F43" s="175"/>
      <c r="G43" s="174"/>
      <c r="H43" s="178"/>
      <c r="I43" s="108"/>
      <c r="J43" s="108"/>
    </row>
    <row r="44" s="164" customFormat="1" ht="30" customHeight="1" spans="1:10">
      <c r="A44" s="168">
        <v>40</v>
      </c>
      <c r="B44" s="114"/>
      <c r="C44" s="114"/>
      <c r="D44" s="114"/>
      <c r="E44" s="114"/>
      <c r="F44" s="114"/>
      <c r="G44" s="114"/>
      <c r="H44" s="179"/>
      <c r="I44" s="108"/>
      <c r="J44" s="108"/>
    </row>
    <row r="45" s="164" customFormat="1" ht="30" customHeight="1" spans="1:10">
      <c r="A45" s="168">
        <v>41</v>
      </c>
      <c r="B45" s="174"/>
      <c r="C45" s="174"/>
      <c r="D45" s="174"/>
      <c r="E45" s="174"/>
      <c r="F45" s="175"/>
      <c r="G45" s="174"/>
      <c r="H45" s="174"/>
      <c r="I45" s="114"/>
      <c r="J45" s="108"/>
    </row>
  </sheetData>
  <mergeCells count="2">
    <mergeCell ref="A1:J1"/>
    <mergeCell ref="A2:J2"/>
  </mergeCells>
  <dataValidations count="4">
    <dataValidation allowBlank="1" showInputMessage="1" showErrorMessage="1" sqref="C3"/>
    <dataValidation type="list" allowBlank="1" showInputMessage="1" showErrorMessage="1" sqref="C4 C5 C6 C7 C1:C2 C8:C65536">
      <formula1>INDIRECT("字典!$a$2:$a$30")</formula1>
    </dataValidation>
    <dataValidation type="list" allowBlank="1" showInputMessage="1" showErrorMessage="1" sqref="E22:E23 F22:H24">
      <formula1>INDIRECT("字典!$a$2:$a$29")</formula1>
    </dataValidation>
    <dataValidation type="list" allowBlank="1" showInputMessage="1" showErrorMessage="1" sqref="D5 D6 D7 D3:D4 D8:D64988">
      <formula1>"第一作者,第二作者,第三作者,第四作者,第五作者,第五作者以后"</formula1>
    </dataValidation>
  </dataValidations>
  <pageMargins left="0.590277777777778" right="0.590277777777778" top="0.984027777777778" bottom="0.984027777777778" header="0.510416666666667" footer="0.510416666666667"/>
  <pageSetup paperSize="9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A1:K6"/>
  <sheetViews>
    <sheetView zoomScale="70" zoomScaleNormal="70" workbookViewId="0">
      <selection activeCell="C4" sqref="C4"/>
    </sheetView>
  </sheetViews>
  <sheetFormatPr defaultColWidth="9" defaultRowHeight="14.25" outlineLevelRow="5"/>
  <cols>
    <col min="1" max="1" width="9" style="71"/>
    <col min="2" max="2" width="15.25" style="71" customWidth="1"/>
    <col min="3" max="3" width="17.5" style="71" customWidth="1"/>
    <col min="4" max="4" width="18.5" style="71" customWidth="1"/>
    <col min="5" max="5" width="31.125" style="71" customWidth="1"/>
    <col min="6" max="6" width="14.125" style="71" customWidth="1"/>
    <col min="7" max="7" width="12" style="71" customWidth="1"/>
    <col min="8" max="8" width="10.875" style="71" customWidth="1"/>
    <col min="9" max="9" width="23" style="71" customWidth="1"/>
    <col min="10" max="10" width="14.125" style="71" customWidth="1"/>
    <col min="11" max="11" width="12.75" style="71" customWidth="1"/>
    <col min="12" max="12" width="14.75" style="71" customWidth="1"/>
    <col min="13" max="16384" width="9" style="71"/>
  </cols>
  <sheetData>
    <row r="1" ht="111.75" customHeight="1" spans="1:10">
      <c r="A1" s="72" t="s">
        <v>251</v>
      </c>
      <c r="B1" s="72"/>
      <c r="C1" s="72"/>
      <c r="D1" s="72"/>
      <c r="E1" s="72"/>
      <c r="F1" s="72"/>
      <c r="G1" s="72"/>
      <c r="H1" s="72"/>
      <c r="I1" s="72"/>
      <c r="J1" s="72"/>
    </row>
    <row r="2" ht="39.95" customHeight="1" spans="1:10">
      <c r="A2" s="8" t="s">
        <v>2</v>
      </c>
      <c r="B2" s="8" t="s">
        <v>3</v>
      </c>
      <c r="C2" s="8" t="s">
        <v>178</v>
      </c>
      <c r="D2" s="8" t="s">
        <v>252</v>
      </c>
      <c r="E2" s="8" t="s">
        <v>253</v>
      </c>
      <c r="F2" s="8" t="s">
        <v>254</v>
      </c>
      <c r="G2" s="8" t="s">
        <v>255</v>
      </c>
      <c r="H2" s="8" t="s">
        <v>204</v>
      </c>
      <c r="I2" s="8" t="s">
        <v>256</v>
      </c>
      <c r="J2" s="8" t="s">
        <v>257</v>
      </c>
    </row>
    <row r="3" ht="39.95" customHeight="1" spans="1:10">
      <c r="A3" s="49" t="s">
        <v>12</v>
      </c>
      <c r="B3" s="59" t="s">
        <v>258</v>
      </c>
      <c r="C3" s="59" t="s">
        <v>259</v>
      </c>
      <c r="D3" s="49" t="s">
        <v>260</v>
      </c>
      <c r="E3" s="49" t="s">
        <v>261</v>
      </c>
      <c r="F3" s="73">
        <v>2011.7</v>
      </c>
      <c r="G3" s="73">
        <v>2014.9</v>
      </c>
      <c r="H3" s="49" t="s">
        <v>262</v>
      </c>
      <c r="I3" s="49" t="s">
        <v>263</v>
      </c>
      <c r="J3" s="73">
        <v>1</v>
      </c>
    </row>
    <row r="4" ht="46.5" customHeight="1" spans="1:11">
      <c r="A4" s="74">
        <v>1</v>
      </c>
      <c r="B4" s="75"/>
      <c r="C4" s="76"/>
      <c r="D4" s="76"/>
      <c r="E4" s="76"/>
      <c r="F4" s="75"/>
      <c r="G4" s="75"/>
      <c r="H4" s="76"/>
      <c r="I4" s="76"/>
      <c r="J4" s="75"/>
      <c r="K4" s="77"/>
    </row>
    <row r="5" ht="46.5" customHeight="1" spans="1:11">
      <c r="A5" s="74">
        <v>2</v>
      </c>
      <c r="B5" s="76"/>
      <c r="C5" s="76"/>
      <c r="D5" s="76"/>
      <c r="E5" s="76"/>
      <c r="F5" s="75"/>
      <c r="G5" s="75"/>
      <c r="H5" s="76"/>
      <c r="I5" s="76"/>
      <c r="J5" s="75"/>
      <c r="K5" s="77"/>
    </row>
    <row r="6" ht="46.5" customHeight="1" spans="1:11">
      <c r="A6" s="74">
        <v>3</v>
      </c>
      <c r="B6" s="76"/>
      <c r="C6" s="76"/>
      <c r="D6" s="76"/>
      <c r="E6" s="75"/>
      <c r="F6" s="75"/>
      <c r="G6" s="75"/>
      <c r="H6" s="76"/>
      <c r="I6" s="76"/>
      <c r="J6" s="75"/>
      <c r="K6" s="77"/>
    </row>
  </sheetData>
  <mergeCells count="1">
    <mergeCell ref="A1:J1"/>
  </mergeCells>
  <dataValidations count="1">
    <dataValidation type="list" allowBlank="1" showInputMessage="1" showErrorMessage="1" sqref="C$1:C$1048576">
      <formula1>INDIRECT("字典!$a$2:$a$30")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37"/>
  </sheetPr>
  <dimension ref="A1:AG6236"/>
  <sheetViews>
    <sheetView topLeftCell="C1" workbookViewId="0">
      <selection activeCell="L16" sqref="L16"/>
    </sheetView>
  </sheetViews>
  <sheetFormatPr defaultColWidth="9" defaultRowHeight="14.25"/>
  <cols>
    <col min="1" max="1" width="5.875" customWidth="1"/>
    <col min="2" max="2" width="10.75" customWidth="1"/>
    <col min="3" max="3" width="19.125" customWidth="1"/>
    <col min="4" max="4" width="11.125" customWidth="1"/>
    <col min="5" max="5" width="13.625" customWidth="1"/>
    <col min="6" max="6" width="13.125" customWidth="1"/>
    <col min="7" max="7" width="9.625" customWidth="1"/>
    <col min="8" max="8" width="17" customWidth="1"/>
    <col min="9" max="9" width="10.5" customWidth="1"/>
    <col min="10" max="10" width="15" customWidth="1"/>
    <col min="11" max="11" width="5.625" customWidth="1"/>
    <col min="12" max="12" width="14.75" customWidth="1"/>
    <col min="13" max="14" width="10.625" customWidth="1"/>
    <col min="15" max="15" width="18.875" customWidth="1"/>
    <col min="16" max="16" width="17.875" customWidth="1"/>
    <col min="17" max="17" width="8.125" customWidth="1"/>
    <col min="18" max="18" width="16.25" customWidth="1"/>
    <col min="19" max="19" width="7.875" customWidth="1"/>
    <col min="20" max="20" width="9.875" customWidth="1"/>
    <col min="21" max="16384" width="9" style="3"/>
  </cols>
  <sheetData>
    <row r="1" ht="60.75" customHeight="1" spans="1:33">
      <c r="A1" s="45" t="s">
        <v>264</v>
      </c>
      <c r="B1" s="46"/>
      <c r="C1" s="46"/>
      <c r="D1" s="46"/>
      <c r="E1" s="46"/>
      <c r="F1" s="46"/>
      <c r="G1" s="46"/>
      <c r="H1" s="46"/>
      <c r="I1" s="46"/>
      <c r="J1" s="46"/>
      <c r="K1" s="63"/>
      <c r="L1" s="64"/>
      <c r="M1" s="64"/>
      <c r="N1" s="64"/>
      <c r="O1" s="64"/>
      <c r="P1" s="64"/>
      <c r="Q1" s="64"/>
      <c r="R1" s="64"/>
      <c r="S1" s="64"/>
      <c r="T1" s="64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ht="21" customHeight="1" spans="1:33">
      <c r="A2" s="47" t="s">
        <v>2</v>
      </c>
      <c r="B2" s="48" t="s">
        <v>265</v>
      </c>
      <c r="C2" s="8" t="s">
        <v>266</v>
      </c>
      <c r="D2" s="8" t="s">
        <v>267</v>
      </c>
      <c r="E2" s="8" t="s">
        <v>268</v>
      </c>
      <c r="F2" s="8"/>
      <c r="G2" s="8"/>
      <c r="H2" s="8"/>
      <c r="I2" s="8"/>
      <c r="J2" s="8"/>
      <c r="K2" s="65"/>
      <c r="L2" s="66"/>
      <c r="M2" s="66"/>
      <c r="N2" s="66"/>
      <c r="O2" s="66"/>
      <c r="P2" s="66"/>
      <c r="Q2" s="66"/>
      <c r="R2" s="66"/>
      <c r="S2" s="66"/>
      <c r="T2" s="66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ht="127.5" customHeight="1" spans="1:33">
      <c r="A3" s="47"/>
      <c r="B3" s="48"/>
      <c r="C3" s="8"/>
      <c r="D3" s="8"/>
      <c r="E3" s="47" t="s">
        <v>269</v>
      </c>
      <c r="F3" s="8" t="s">
        <v>270</v>
      </c>
      <c r="G3" s="8" t="s">
        <v>271</v>
      </c>
      <c r="H3" s="8" t="s">
        <v>272</v>
      </c>
      <c r="I3" s="8" t="s">
        <v>273</v>
      </c>
      <c r="J3" s="8" t="s">
        <v>274</v>
      </c>
      <c r="K3" s="65"/>
      <c r="L3" s="66"/>
      <c r="M3" s="66"/>
      <c r="N3" s="66"/>
      <c r="O3" s="65"/>
      <c r="P3" s="66"/>
      <c r="Q3" s="66"/>
      <c r="R3" s="66"/>
      <c r="S3" s="66"/>
      <c r="T3" s="66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ht="45" customHeight="1" spans="1:33">
      <c r="A4" s="59" t="s">
        <v>12</v>
      </c>
      <c r="B4" s="59" t="s">
        <v>198</v>
      </c>
      <c r="C4" s="59" t="s">
        <v>40</v>
      </c>
      <c r="D4" s="59" t="s">
        <v>275</v>
      </c>
      <c r="E4" s="59" t="s">
        <v>276</v>
      </c>
      <c r="F4" s="59" t="s">
        <v>275</v>
      </c>
      <c r="G4" s="59">
        <v>9</v>
      </c>
      <c r="H4" s="59" t="s">
        <v>276</v>
      </c>
      <c r="I4" s="59" t="s">
        <v>277</v>
      </c>
      <c r="J4" s="59" t="s">
        <v>277</v>
      </c>
      <c r="K4" s="67"/>
      <c r="L4" s="36"/>
      <c r="M4" s="68"/>
      <c r="N4" s="36"/>
      <c r="O4" s="36"/>
      <c r="P4" s="36"/>
      <c r="Q4" s="36"/>
      <c r="R4" s="36"/>
      <c r="S4" s="36"/>
      <c r="T4" s="36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</row>
    <row r="5" ht="24.95" customHeight="1" spans="1:33">
      <c r="A5" s="60">
        <v>1</v>
      </c>
      <c r="B5" s="60"/>
      <c r="C5" s="60"/>
      <c r="D5" s="60"/>
      <c r="E5" s="60"/>
      <c r="F5" s="61"/>
      <c r="G5" s="60"/>
      <c r="H5" s="60"/>
      <c r="I5" s="60"/>
      <c r="J5" s="60"/>
      <c r="K5" s="67"/>
      <c r="L5" s="36"/>
      <c r="M5" s="68"/>
      <c r="N5" s="26"/>
      <c r="O5" s="26"/>
      <c r="P5" s="26"/>
      <c r="Q5" s="26"/>
      <c r="R5" s="26"/>
      <c r="S5" s="26"/>
      <c r="T5" s="26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</row>
    <row r="6" ht="43.5" customHeight="1" spans="1:33">
      <c r="A6" s="60">
        <v>2</v>
      </c>
      <c r="B6" s="53"/>
      <c r="C6" s="53"/>
      <c r="D6" s="53"/>
      <c r="E6" s="53"/>
      <c r="F6" s="62"/>
      <c r="G6" s="53"/>
      <c r="H6" s="53"/>
      <c r="I6" s="53"/>
      <c r="J6" s="69"/>
      <c r="K6" s="67"/>
      <c r="L6" s="36"/>
      <c r="M6" s="36"/>
      <c r="N6" s="26"/>
      <c r="O6" s="26"/>
      <c r="P6" s="26"/>
      <c r="Q6" s="26"/>
      <c r="R6" s="26"/>
      <c r="S6" s="26"/>
      <c r="T6" s="26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ht="51.75" customHeight="1" spans="1:33">
      <c r="A7" s="60">
        <v>3</v>
      </c>
      <c r="B7" s="60"/>
      <c r="C7" s="53"/>
      <c r="D7" s="53"/>
      <c r="E7" s="53"/>
      <c r="F7" s="53"/>
      <c r="G7" s="53"/>
      <c r="H7" s="53"/>
      <c r="I7" s="53"/>
      <c r="J7" s="53"/>
      <c r="K7" s="67"/>
      <c r="L7" s="36"/>
      <c r="M7" s="36"/>
      <c r="N7" s="26"/>
      <c r="O7" s="26"/>
      <c r="P7" s="26"/>
      <c r="Q7" s="26"/>
      <c r="R7" s="26"/>
      <c r="S7" s="26"/>
      <c r="T7" s="26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ht="49.5" customHeight="1" spans="1:33">
      <c r="A8" s="60">
        <v>4</v>
      </c>
      <c r="B8" s="60"/>
      <c r="C8" s="53"/>
      <c r="D8" s="53"/>
      <c r="E8" s="53"/>
      <c r="F8" s="53"/>
      <c r="G8" s="53"/>
      <c r="H8" s="53"/>
      <c r="I8" s="53"/>
      <c r="J8" s="53"/>
      <c r="K8" s="67"/>
      <c r="L8" s="26"/>
      <c r="M8" s="26"/>
      <c r="N8" s="26"/>
      <c r="O8" s="26"/>
      <c r="P8" s="26"/>
      <c r="Q8" s="26"/>
      <c r="R8" s="26"/>
      <c r="S8" s="26"/>
      <c r="T8" s="26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</row>
    <row r="9" customHeight="1"/>
    <row r="10" customHeight="1"/>
    <row r="11" customHeight="1"/>
    <row r="12" customHeight="1"/>
    <row r="13" customHeight="1"/>
    <row r="14" customHeight="1"/>
    <row r="15" customHeight="1"/>
    <row r="16" customHeight="1"/>
    <row r="17" customHeight="1"/>
    <row r="18" customHeight="1"/>
    <row r="19" customHeight="1"/>
    <row r="20" customHeight="1"/>
    <row r="21" customHeight="1"/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  <row r="37" customHeight="1"/>
    <row r="38" customHeight="1"/>
    <row r="39" customHeight="1"/>
    <row r="40" customHeight="1"/>
    <row r="41" customHeight="1"/>
    <row r="42" customHeight="1"/>
    <row r="43" customHeight="1"/>
    <row r="44" customHeight="1"/>
    <row r="45" customHeight="1"/>
    <row r="46" customHeight="1"/>
    <row r="47" customHeight="1"/>
    <row r="48" customHeight="1"/>
    <row r="49" customHeight="1"/>
    <row r="50" customHeight="1"/>
    <row r="51" customHeight="1"/>
    <row r="52" customHeight="1"/>
    <row r="53" customHeight="1"/>
    <row r="54" customHeight="1"/>
    <row r="55" customHeight="1"/>
    <row r="56" customHeight="1"/>
    <row r="57" customHeight="1"/>
    <row r="58" customHeight="1"/>
    <row r="59" customHeight="1"/>
    <row r="60" customHeight="1"/>
    <row r="61" customHeight="1"/>
    <row r="62" customHeight="1"/>
    <row r="63" customHeight="1"/>
    <row r="64" customHeight="1"/>
    <row r="65" customHeight="1"/>
    <row r="66" customHeight="1"/>
    <row r="67" customHeight="1"/>
    <row r="68" customHeight="1"/>
    <row r="69" customHeight="1"/>
    <row r="70" customHeight="1"/>
    <row r="71" customHeight="1"/>
    <row r="72" customHeight="1"/>
    <row r="73" customHeight="1"/>
    <row r="74" customHeight="1"/>
    <row r="75" customHeight="1"/>
    <row r="76" customHeight="1"/>
    <row r="77" customHeight="1"/>
    <row r="78" customHeight="1"/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  <row r="91" customHeight="1"/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  <row r="100" customHeight="1"/>
    <row r="101" customHeight="1"/>
    <row r="102" customHeight="1"/>
    <row r="103" customHeight="1"/>
    <row r="104" customHeight="1"/>
    <row r="105" customHeight="1"/>
    <row r="106" customHeight="1"/>
    <row r="107" customHeight="1"/>
    <row r="108" customHeight="1"/>
    <row r="109" customHeight="1"/>
    <row r="110" customHeight="1"/>
    <row r="111" customHeight="1"/>
    <row r="112" customHeight="1"/>
    <row r="113" customHeight="1"/>
    <row r="114" customHeight="1"/>
    <row r="115" customHeight="1"/>
    <row r="116" customHeight="1"/>
    <row r="117" customHeight="1"/>
    <row r="118" customHeight="1"/>
    <row r="119" customHeight="1"/>
    <row r="120" customHeight="1"/>
    <row r="121" customHeight="1"/>
    <row r="122" customHeight="1"/>
    <row r="123" customHeight="1"/>
    <row r="124" customHeight="1"/>
    <row r="125" customHeight="1"/>
    <row r="126" customHeight="1"/>
    <row r="127" customHeight="1"/>
    <row r="128" customHeight="1"/>
    <row r="129" customHeight="1"/>
    <row r="130" customHeight="1"/>
    <row r="131" customHeight="1"/>
    <row r="132" customHeight="1"/>
    <row r="133" customHeight="1"/>
    <row r="134" customHeight="1"/>
    <row r="135" customHeight="1"/>
    <row r="136" customHeight="1"/>
    <row r="137" customHeight="1"/>
    <row r="138" customHeight="1"/>
    <row r="139" customHeight="1"/>
    <row r="140" customHeight="1"/>
    <row r="141" customHeight="1"/>
    <row r="142" customHeight="1"/>
    <row r="143" customHeight="1"/>
    <row r="144" customHeight="1"/>
    <row r="145" customHeight="1"/>
    <row r="146" customHeight="1"/>
    <row r="147" customHeight="1"/>
    <row r="148" customHeight="1"/>
    <row r="149" customHeight="1"/>
    <row r="150" customHeight="1"/>
    <row r="151" customHeight="1"/>
    <row r="152" customHeight="1"/>
    <row r="153" customHeight="1"/>
    <row r="154" customHeight="1"/>
    <row r="155" customHeight="1"/>
    <row r="156" customHeight="1"/>
    <row r="157" customHeight="1"/>
    <row r="158" customHeight="1"/>
    <row r="159" customHeight="1"/>
    <row r="160" customHeight="1"/>
    <row r="161" customHeight="1"/>
    <row r="162" customHeight="1"/>
    <row r="163" customHeight="1"/>
    <row r="164" customHeight="1"/>
    <row r="165" customHeight="1"/>
    <row r="166" customHeight="1"/>
    <row r="167" customHeight="1"/>
    <row r="168" customHeight="1"/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</sheetData>
  <mergeCells count="12">
    <mergeCell ref="A1:J1"/>
    <mergeCell ref="K1:T1"/>
    <mergeCell ref="E2:J2"/>
    <mergeCell ref="O2:T2"/>
    <mergeCell ref="A2:A3"/>
    <mergeCell ref="B2:B3"/>
    <mergeCell ref="C2:C3"/>
    <mergeCell ref="D2:D3"/>
    <mergeCell ref="K2:K3"/>
    <mergeCell ref="L2:L3"/>
    <mergeCell ref="M2:M3"/>
    <mergeCell ref="N2:N3"/>
  </mergeCells>
  <dataValidations count="3">
    <dataValidation type="list" allowBlank="1" showInputMessage="1" showErrorMessage="1" sqref="C1 C4:C65536">
      <formula1>INDIRECT("字典!$a$2:$a$30")</formula1>
    </dataValidation>
    <dataValidation allowBlank="1" showInputMessage="1" showErrorMessage="1" sqref="C2:C3"/>
    <dataValidation type="list" allowBlank="1" showInputMessage="1" showErrorMessage="1" sqref="M1:M3 M8:M65536">
      <formula1>"农学院,建筑工程学院,生物工程学院,动物科技学院,信息工程学院,机电工程学院,经贸学院,外国语学院,马克思主义理论课教学部,军事体育教学部,组织部,宣传部,院办,人事处,招生就业处,总务处,学工处,保卫处,教务处,督导处,科技处,示范办,实验中心,图书馆,职业技能鉴定培训中心,资产管理科,工会"</formula1>
    </dataValidation>
  </dataValidations>
  <pageMargins left="0.75" right="0.75" top="1" bottom="1" header="0.5" footer="0.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7"/>
  </sheetPr>
  <dimension ref="A1:J14"/>
  <sheetViews>
    <sheetView zoomScale="85" zoomScaleNormal="85" workbookViewId="0">
      <selection activeCell="H13" sqref="H13"/>
    </sheetView>
  </sheetViews>
  <sheetFormatPr defaultColWidth="9" defaultRowHeight="14.25"/>
  <cols>
    <col min="2" max="2" width="12.375" customWidth="1"/>
    <col min="3" max="3" width="22.125" customWidth="1"/>
    <col min="4" max="4" width="13" customWidth="1"/>
    <col min="5" max="5" width="19.625" customWidth="1"/>
    <col min="6" max="6" width="24" customWidth="1"/>
    <col min="7" max="7" width="8.25" customWidth="1"/>
    <col min="8" max="8" width="21.75" customWidth="1"/>
    <col min="9" max="9" width="9.25" customWidth="1"/>
    <col min="10" max="10" width="16" customWidth="1"/>
  </cols>
  <sheetData>
    <row r="1" ht="77.25" customHeight="1" spans="1:10">
      <c r="A1" s="45" t="s">
        <v>278</v>
      </c>
      <c r="B1" s="46"/>
      <c r="C1" s="46"/>
      <c r="D1" s="46"/>
      <c r="E1" s="46"/>
      <c r="F1" s="46"/>
      <c r="G1" s="46"/>
      <c r="H1" s="46"/>
      <c r="I1" s="46"/>
      <c r="J1" s="46"/>
    </row>
    <row r="2" ht="32.25" customHeight="1" spans="1:10">
      <c r="A2" s="47" t="s">
        <v>2</v>
      </c>
      <c r="B2" s="48" t="s">
        <v>265</v>
      </c>
      <c r="C2" s="8" t="s">
        <v>266</v>
      </c>
      <c r="D2" s="8" t="s">
        <v>267</v>
      </c>
      <c r="E2" s="8" t="s">
        <v>279</v>
      </c>
      <c r="F2" s="8"/>
      <c r="G2" s="8"/>
      <c r="H2" s="8"/>
      <c r="I2" s="8"/>
      <c r="J2" s="8"/>
    </row>
    <row r="3" ht="120.75" customHeight="1" spans="1:10">
      <c r="A3" s="47"/>
      <c r="B3" s="48"/>
      <c r="C3" s="8"/>
      <c r="D3" s="8"/>
      <c r="E3" s="8" t="s">
        <v>269</v>
      </c>
      <c r="F3" s="8" t="s">
        <v>280</v>
      </c>
      <c r="G3" s="8" t="s">
        <v>271</v>
      </c>
      <c r="H3" s="8" t="s">
        <v>281</v>
      </c>
      <c r="I3" s="8" t="s">
        <v>282</v>
      </c>
      <c r="J3" s="8" t="s">
        <v>274</v>
      </c>
    </row>
    <row r="4" ht="34.5" customHeight="1" spans="1:10">
      <c r="A4" s="49" t="s">
        <v>12</v>
      </c>
      <c r="B4" s="49" t="s">
        <v>13</v>
      </c>
      <c r="C4" s="49" t="s">
        <v>40</v>
      </c>
      <c r="D4" s="49" t="s">
        <v>283</v>
      </c>
      <c r="E4" s="49" t="s">
        <v>284</v>
      </c>
      <c r="F4" s="49" t="s">
        <v>285</v>
      </c>
      <c r="G4" s="49">
        <v>25</v>
      </c>
      <c r="H4" s="49" t="s">
        <v>286</v>
      </c>
      <c r="I4" s="49">
        <v>120</v>
      </c>
      <c r="J4" s="49" t="s">
        <v>287</v>
      </c>
    </row>
    <row r="5" ht="24.95" customHeight="1" spans="1:10">
      <c r="A5" s="50">
        <v>1</v>
      </c>
      <c r="B5" s="51"/>
      <c r="C5" s="51"/>
      <c r="D5" s="51"/>
      <c r="E5" s="51"/>
      <c r="F5" s="52"/>
      <c r="G5" s="51"/>
      <c r="H5" s="52"/>
      <c r="I5" s="57"/>
      <c r="J5" s="51"/>
    </row>
    <row r="6" ht="24.95" customHeight="1" spans="1:10">
      <c r="A6" s="50">
        <v>2</v>
      </c>
      <c r="B6" s="53"/>
      <c r="C6" s="51"/>
      <c r="D6" s="53"/>
      <c r="E6" s="53"/>
      <c r="F6" s="54"/>
      <c r="G6" s="53"/>
      <c r="H6" s="53"/>
      <c r="I6" s="53"/>
      <c r="J6" s="53"/>
    </row>
    <row r="7" ht="24.95" customHeight="1" spans="1:10">
      <c r="A7" s="50">
        <v>3</v>
      </c>
      <c r="B7" s="53"/>
      <c r="C7" s="51"/>
      <c r="D7" s="53"/>
      <c r="E7" s="53"/>
      <c r="F7" s="54"/>
      <c r="G7" s="53"/>
      <c r="H7" s="53"/>
      <c r="I7" s="53"/>
      <c r="J7" s="53"/>
    </row>
    <row r="8" ht="24.95" customHeight="1" spans="1:10">
      <c r="A8" s="50">
        <v>4</v>
      </c>
      <c r="B8" s="53"/>
      <c r="C8" s="51"/>
      <c r="D8" s="53"/>
      <c r="E8" s="53"/>
      <c r="F8" s="53"/>
      <c r="G8" s="53"/>
      <c r="H8" s="53"/>
      <c r="I8" s="53"/>
      <c r="J8" s="53"/>
    </row>
    <row r="9" ht="24.95" customHeight="1" spans="1:10">
      <c r="A9" s="50">
        <v>5</v>
      </c>
      <c r="B9" s="53"/>
      <c r="C9" s="51"/>
      <c r="D9" s="53"/>
      <c r="E9" s="51"/>
      <c r="F9" s="52"/>
      <c r="G9" s="53"/>
      <c r="H9" s="51"/>
      <c r="I9" s="53"/>
      <c r="J9" s="53"/>
    </row>
    <row r="10" ht="24.95" customHeight="1" spans="1:10">
      <c r="A10" s="50">
        <v>6</v>
      </c>
      <c r="B10" s="53"/>
      <c r="C10" s="51"/>
      <c r="D10" s="53"/>
      <c r="E10" s="53"/>
      <c r="F10" s="53"/>
      <c r="G10" s="53"/>
      <c r="H10" s="53"/>
      <c r="I10" s="53"/>
      <c r="J10" s="53"/>
    </row>
    <row r="11" ht="24.95" customHeight="1" spans="1:10">
      <c r="A11" s="50">
        <v>7</v>
      </c>
      <c r="B11" s="51"/>
      <c r="C11" s="51"/>
      <c r="D11" s="51"/>
      <c r="E11" s="51"/>
      <c r="F11" s="52"/>
      <c r="G11" s="51"/>
      <c r="H11" s="52"/>
      <c r="I11" s="57"/>
      <c r="J11" s="51"/>
    </row>
    <row r="12" ht="24.95" customHeight="1" spans="1:10">
      <c r="A12" s="50">
        <v>8</v>
      </c>
      <c r="B12" s="55"/>
      <c r="C12" s="51"/>
      <c r="D12" s="55"/>
      <c r="E12" s="55"/>
      <c r="F12" s="56"/>
      <c r="G12" s="55"/>
      <c r="H12" s="56"/>
      <c r="I12" s="58"/>
      <c r="J12" s="55"/>
    </row>
    <row r="13" ht="24.95" customHeight="1" spans="1:10">
      <c r="A13" s="50">
        <v>9</v>
      </c>
      <c r="B13" s="51"/>
      <c r="C13" s="51"/>
      <c r="D13" s="51"/>
      <c r="E13" s="51"/>
      <c r="F13" s="52"/>
      <c r="G13" s="51"/>
      <c r="H13" s="52"/>
      <c r="I13" s="57"/>
      <c r="J13" s="51"/>
    </row>
    <row r="14" ht="24.95" customHeight="1" spans="1:10">
      <c r="A14" s="50">
        <v>10</v>
      </c>
      <c r="B14" s="51"/>
      <c r="C14" s="51"/>
      <c r="D14" s="51"/>
      <c r="E14" s="51"/>
      <c r="F14" s="51"/>
      <c r="G14" s="51"/>
      <c r="H14" s="51"/>
      <c r="I14" s="51"/>
      <c r="J14" s="51"/>
    </row>
  </sheetData>
  <mergeCells count="6">
    <mergeCell ref="A1:J1"/>
    <mergeCell ref="E2:J2"/>
    <mergeCell ref="A2:A3"/>
    <mergeCell ref="B2:B3"/>
    <mergeCell ref="C2:C3"/>
    <mergeCell ref="D2:D3"/>
  </mergeCells>
  <dataValidations count="3">
    <dataValidation type="list" allowBlank="1" showInputMessage="1" showErrorMessage="1" sqref="C1 C4 C15:C65536">
      <formula1>INDIRECT("字典!$a$2:$a$30")</formula1>
    </dataValidation>
    <dataValidation type="list" allowBlank="1" showInputMessage="1" showErrorMessage="1" sqref="C5:C14">
      <formula1>INDIRECT("字典!$a$2:$a$31")</formula1>
    </dataValidation>
    <dataValidation allowBlank="1" showInputMessage="1" showErrorMessage="1" sqref="F5 H5 F9 C2:C3 F11:F14 H11:H14"/>
  </dataValidation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32"/>
  </sheetPr>
  <dimension ref="A1:AF17"/>
  <sheetViews>
    <sheetView zoomScale="85" zoomScaleNormal="85" workbookViewId="0">
      <selection activeCell="AF3" sqref="AF3"/>
    </sheetView>
  </sheetViews>
  <sheetFormatPr defaultColWidth="9" defaultRowHeight="14.25"/>
  <cols>
    <col min="1" max="1" width="15.75" style="38" customWidth="1"/>
    <col min="2" max="2" width="5.5" style="38" customWidth="1"/>
    <col min="3" max="3" width="4.5" style="38" customWidth="1"/>
    <col min="4" max="5" width="5.25" style="38" customWidth="1"/>
    <col min="6" max="6" width="5" style="38" customWidth="1"/>
    <col min="7" max="7" width="5.625" style="38" customWidth="1"/>
    <col min="8" max="9" width="5.25" style="38" customWidth="1"/>
    <col min="10" max="10" width="7.125" style="38" customWidth="1"/>
    <col min="11" max="11" width="3.625" style="38" customWidth="1"/>
    <col min="12" max="12" width="5.625" style="38" customWidth="1"/>
    <col min="13" max="13" width="3.625" style="38" customWidth="1"/>
    <col min="14" max="14" width="5" style="38" customWidth="1"/>
    <col min="15" max="25" width="3.625" style="38" customWidth="1"/>
    <col min="26" max="26" width="5.75" style="38" customWidth="1"/>
    <col min="27" max="28" width="3.625" style="38" customWidth="1"/>
    <col min="29" max="29" width="3.875" style="38" customWidth="1"/>
    <col min="30" max="31" width="3.625" style="38" customWidth="1"/>
    <col min="32" max="32" width="13.125" style="38" customWidth="1"/>
    <col min="33" max="16384" width="9" style="38"/>
  </cols>
  <sheetData>
    <row r="1" ht="31.5" spans="1:32">
      <c r="A1" s="39" t="s">
        <v>288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ht="99.75" customHeight="1" spans="1:32">
      <c r="A2" s="40"/>
      <c r="B2" s="41" t="s">
        <v>289</v>
      </c>
      <c r="C2" s="41" t="s">
        <v>290</v>
      </c>
      <c r="D2" s="41" t="s">
        <v>291</v>
      </c>
      <c r="E2" s="41" t="s">
        <v>292</v>
      </c>
      <c r="F2" s="41" t="s">
        <v>293</v>
      </c>
      <c r="G2" s="41" t="s">
        <v>294</v>
      </c>
      <c r="H2" s="41" t="s">
        <v>295</v>
      </c>
      <c r="I2" s="41" t="s">
        <v>296</v>
      </c>
      <c r="J2" s="43" t="s">
        <v>297</v>
      </c>
      <c r="K2" s="43" t="s">
        <v>298</v>
      </c>
      <c r="L2" s="44" t="s">
        <v>40</v>
      </c>
      <c r="M2" s="44" t="s">
        <v>259</v>
      </c>
      <c r="N2" s="41" t="s">
        <v>299</v>
      </c>
      <c r="O2" s="41" t="s">
        <v>300</v>
      </c>
      <c r="P2" s="44" t="s">
        <v>301</v>
      </c>
      <c r="Q2" s="44" t="s">
        <v>302</v>
      </c>
      <c r="R2" s="44" t="s">
        <v>303</v>
      </c>
      <c r="S2" s="44" t="s">
        <v>304</v>
      </c>
      <c r="T2" s="44" t="s">
        <v>305</v>
      </c>
      <c r="U2" s="44" t="s">
        <v>306</v>
      </c>
      <c r="V2" s="44" t="s">
        <v>307</v>
      </c>
      <c r="W2" s="44" t="s">
        <v>308</v>
      </c>
      <c r="X2" s="44" t="s">
        <v>309</v>
      </c>
      <c r="Y2" s="44" t="s">
        <v>310</v>
      </c>
      <c r="Z2" s="44" t="s">
        <v>311</v>
      </c>
      <c r="AA2" s="44" t="s">
        <v>312</v>
      </c>
      <c r="AB2" s="44" t="s">
        <v>313</v>
      </c>
      <c r="AC2" s="44" t="s">
        <v>314</v>
      </c>
      <c r="AD2" s="44" t="s">
        <v>315</v>
      </c>
      <c r="AE2" s="44" t="s">
        <v>316</v>
      </c>
      <c r="AF2" s="44" t="s">
        <v>317</v>
      </c>
    </row>
    <row r="3" ht="24.95" customHeight="1" spans="1:32">
      <c r="A3" s="40" t="s">
        <v>318</v>
      </c>
      <c r="B3" s="42">
        <f>COUNTIF(论文!C5:C452,"农学院")</f>
        <v>0</v>
      </c>
      <c r="C3" s="42">
        <f>COUNTIF(论文!C5:C452,"建筑工程学院")</f>
        <v>0</v>
      </c>
      <c r="D3" s="42">
        <f>COUNTIF(论文!C5:C452,"信息工程学院")</f>
        <v>0</v>
      </c>
      <c r="E3" s="42">
        <f>COUNTIF(论文!C5:C452,"生物工程学院")</f>
        <v>0</v>
      </c>
      <c r="F3" s="42">
        <f>COUNTIF(论文!C5:C452,"动物科技学院")</f>
        <v>0</v>
      </c>
      <c r="G3" s="42">
        <f>COUNTIF(论文!C5:C452,"机电工程学院")</f>
        <v>2</v>
      </c>
      <c r="H3" s="42">
        <f>COUNTIF(论文!C5:C452,"经贸学院")</f>
        <v>0</v>
      </c>
      <c r="I3" s="42">
        <f>COUNTIF(论文!C5:C452,"外国语学院")</f>
        <v>0</v>
      </c>
      <c r="J3" s="42">
        <f>COUNTIF(论文!C5:C452,"马克思主义理论课教学部")</f>
        <v>0</v>
      </c>
      <c r="K3" s="42">
        <f>COUNTIF(论文!C5:C383,"军事体育教学部")</f>
        <v>0</v>
      </c>
      <c r="L3" s="42">
        <f>COUNTIF(论文!C5:C452,"科技处")</f>
        <v>0</v>
      </c>
      <c r="M3" s="42">
        <f>COUNTIF(论文!C5:C452,"督导处")</f>
        <v>0</v>
      </c>
      <c r="N3" s="42">
        <f>COUNTIF(论文!C5:C452,"教务处")</f>
        <v>0</v>
      </c>
      <c r="O3" s="42">
        <f>COUNTIF(论文!C5:C452,"学工处")</f>
        <v>0</v>
      </c>
      <c r="P3" s="42">
        <f>COUNTIF(论文!C5:C452,"示范办")</f>
        <v>0</v>
      </c>
      <c r="Q3" s="42">
        <f>COUNTIF(论文!C5:C452,"实验中心")</f>
        <v>0</v>
      </c>
      <c r="R3" s="42">
        <f>COUNTIF(论文!C5:C452,"组织部")</f>
        <v>0</v>
      </c>
      <c r="S3" s="42">
        <f>COUNTIF(论文!C5:C452,"宣传部")</f>
        <v>0</v>
      </c>
      <c r="T3" s="42">
        <f>COUNTIF(论文!C5:C452,"院办")</f>
        <v>0</v>
      </c>
      <c r="U3" s="42">
        <f>COUNTIF(论文!C5:C452,"人事处")</f>
        <v>0</v>
      </c>
      <c r="V3" s="42">
        <f>COUNTIF(论文!C5:C452,"招生就业处")</f>
        <v>0</v>
      </c>
      <c r="W3" s="42">
        <f>COUNTIF(论文!C5:C452,"总务处")</f>
        <v>0</v>
      </c>
      <c r="X3" s="42">
        <f>COUNTIF(论文!C5:C452,"保卫处")</f>
        <v>0</v>
      </c>
      <c r="Y3" s="42">
        <f>COUNTIF(论文!C5:C452,"图书馆")</f>
        <v>0</v>
      </c>
      <c r="Z3" s="42">
        <f>COUNTIF(论文!C5:C452,"职业技能鉴定培训中心")</f>
        <v>0</v>
      </c>
      <c r="AA3" s="42">
        <f>COUNTIF(论文!C5:C452,"资产管理科")</f>
        <v>0</v>
      </c>
      <c r="AB3" s="42">
        <f>COUNTIF(论文!C5:C452,"工会")</f>
        <v>0</v>
      </c>
      <c r="AC3" s="42">
        <f>COUNTIF(论文!C5:C452,"财务处")</f>
        <v>0</v>
      </c>
      <c r="AD3" s="42">
        <f>COUNTIF(论文!C5:C452,"技师学院")</f>
        <v>0</v>
      </c>
      <c r="AE3" s="42">
        <f>COUNTIF(论文!C5:C452,"学院领导")</f>
        <v>0</v>
      </c>
      <c r="AF3" s="42">
        <f t="shared" ref="AF3:AF17" si="0">SUM(B3:AE3)</f>
        <v>2</v>
      </c>
    </row>
    <row r="4" ht="24.95" customHeight="1" spans="1:32">
      <c r="A4" s="40" t="s">
        <v>319</v>
      </c>
      <c r="B4" s="42">
        <f>COUNTIF(著作!C5:C228,"农学院")</f>
        <v>0</v>
      </c>
      <c r="C4" s="42">
        <f>COUNTIF(著作!C5:C228,"建筑工程学院")</f>
        <v>0</v>
      </c>
      <c r="D4" s="42">
        <f>COUNTIF(著作!C5:C228,"信息工程学院")</f>
        <v>0</v>
      </c>
      <c r="E4" s="42">
        <f>COUNTIF(著作!C5:C228,"生物工程学院")</f>
        <v>0</v>
      </c>
      <c r="F4" s="42">
        <f>COUNTIF(著作!C5:C228,"动物科技学院")</f>
        <v>0</v>
      </c>
      <c r="G4" s="42">
        <f>COUNTIF(著作!C5:C228,"机电工程学院")</f>
        <v>26</v>
      </c>
      <c r="H4" s="42">
        <f>COUNTIF(著作!C5:C228,"经贸学院")</f>
        <v>0</v>
      </c>
      <c r="I4" s="42">
        <f>COUNTIF(著作!C5:C228,"外国语学院")</f>
        <v>0</v>
      </c>
      <c r="J4" s="42">
        <f>COUNTIF(著作!C5:C228,"马克思主义理论课教学部")</f>
        <v>0</v>
      </c>
      <c r="K4" s="42">
        <f>COUNTIF(著作!C5:C228,"军事体育教学部")</f>
        <v>0</v>
      </c>
      <c r="L4" s="42">
        <f>COUNTIF(著作!C5:C228,"科技处")</f>
        <v>0</v>
      </c>
      <c r="M4" s="42">
        <f>COUNTIF(著作!C5:C228,"督导处")</f>
        <v>0</v>
      </c>
      <c r="N4" s="42">
        <f>COUNTIF(著作!C5:C228,"教务处")</f>
        <v>0</v>
      </c>
      <c r="O4" s="42">
        <f>COUNTIF(著作!C5:C228,"学工处")</f>
        <v>0</v>
      </c>
      <c r="P4" s="42">
        <f>COUNTIF(著作!C5:C228,"示范办")</f>
        <v>0</v>
      </c>
      <c r="Q4" s="42">
        <f>COUNTIF(著作!C5:C228,"实验中心")</f>
        <v>0</v>
      </c>
      <c r="R4" s="42">
        <f>COUNTIF(著作!C5:C228,"组织部")</f>
        <v>0</v>
      </c>
      <c r="S4" s="42">
        <f>COUNTIF(著作!C5:C228,"宣传部")</f>
        <v>0</v>
      </c>
      <c r="T4" s="42">
        <f>COUNTIF(著作!C5:C228,"院办")</f>
        <v>0</v>
      </c>
      <c r="U4" s="42">
        <f>COUNTIF(著作!C5:C228,"人事处")</f>
        <v>0</v>
      </c>
      <c r="V4" s="42">
        <f>COUNTIF(著作!C5:C228,"招生就业处")</f>
        <v>0</v>
      </c>
      <c r="W4" s="42">
        <f>COUNTIF(著作!C5:C228,"总务处")</f>
        <v>0</v>
      </c>
      <c r="X4" s="42">
        <f>COUNTIF(著作!C5:C228,"保卫处")</f>
        <v>0</v>
      </c>
      <c r="Y4" s="42">
        <f>COUNTIF(著作!C5:C228,"图书馆")</f>
        <v>0</v>
      </c>
      <c r="Z4" s="42">
        <f>COUNTIF(著作!C5:C228,"职业技能鉴定培训中心")</f>
        <v>0</v>
      </c>
      <c r="AA4" s="42">
        <f>COUNTIF(著作!C5:C228,"资产管理科")</f>
        <v>0</v>
      </c>
      <c r="AB4" s="42">
        <f>COUNTIF(著作!C5:C228,"工会")</f>
        <v>0</v>
      </c>
      <c r="AC4" s="42">
        <f>COUNTIF(著作!C5:C228,"财务处")</f>
        <v>0</v>
      </c>
      <c r="AD4" s="42">
        <f>COUNTIF(著作!C5:C228,"技师学院")</f>
        <v>0</v>
      </c>
      <c r="AE4" s="42">
        <f>COUNTIF(著作!C5:C228,"学院领导")</f>
        <v>0</v>
      </c>
      <c r="AF4" s="42">
        <f t="shared" si="0"/>
        <v>26</v>
      </c>
    </row>
    <row r="5" ht="24.95" customHeight="1" spans="1:32">
      <c r="A5" s="40" t="s">
        <v>41</v>
      </c>
      <c r="B5" s="42">
        <f>SUMPRODUCT((著作!C5:C32="农学院")*(著作!D5:D32="第一主编"))</f>
        <v>0</v>
      </c>
      <c r="C5" s="42">
        <f>SUMPRODUCT((著作!C5:C32="建筑工程学院")*(著作!D5:D32="第一主编"))</f>
        <v>0</v>
      </c>
      <c r="D5" s="42">
        <f>SUMPRODUCT((著作!C5:C32="信息工程学院")*(著作!D5:D32="第一主编"))</f>
        <v>0</v>
      </c>
      <c r="E5" s="42">
        <f>SUMPRODUCT((著作!C5:C32="生物工程学院")*(著作!D5:D32="第一主编"))</f>
        <v>0</v>
      </c>
      <c r="F5" s="42">
        <f>SUMPRODUCT((著作!C5:C32="动物科技学院")*(著作!D5:D32="第一主编"))</f>
        <v>0</v>
      </c>
      <c r="G5" s="42">
        <f>SUMPRODUCT((著作!C5:C32="机电工程学院")*(著作!D5:D32="第一主编"))</f>
        <v>0</v>
      </c>
      <c r="H5" s="42">
        <f>SUMPRODUCT((著作!C5:C32="经贸学院")*(著作!D5:D32="第一主编"))</f>
        <v>0</v>
      </c>
      <c r="I5" s="42">
        <f>SUMPRODUCT((著作!C5:C32="外国语学院")*(著作!D5:D32="第一主编"))</f>
        <v>0</v>
      </c>
      <c r="J5" s="42">
        <f>SUMPRODUCT((著作!C5:C32="马克思主义理论课教学部")*(著作!D5:D32="第一主编"))</f>
        <v>0</v>
      </c>
      <c r="K5" s="42">
        <f>SUMPRODUCT((著作!C5:C32="军事体育教学部")*(著作!D5:D32="第一主编"))</f>
        <v>0</v>
      </c>
      <c r="L5" s="42">
        <f>SUMPRODUCT((著作!C5:C32="科技处")*(著作!D5:D32="第一主编"))</f>
        <v>0</v>
      </c>
      <c r="M5" s="42">
        <f>SUMPRODUCT((著作!C5:C32="督导处")*(著作!D5:D32="第一主编"))</f>
        <v>0</v>
      </c>
      <c r="N5" s="42">
        <f>SUMPRODUCT((著作!C5:C32="教务处")*(著作!D5:D32="第一主编"))</f>
        <v>0</v>
      </c>
      <c r="O5" s="42">
        <f>SUMPRODUCT((著作!C5:C32="学工处")*(著作!D5:D32="第一主编"))</f>
        <v>0</v>
      </c>
      <c r="P5" s="42">
        <f>SUMPRODUCT((著作!C5:C32="示范办")*(著作!D5:D32="第一主编"))</f>
        <v>0</v>
      </c>
      <c r="Q5" s="42">
        <f>SUMPRODUCT((著作!C5:C32="实验中心")*(著作!D5:D32="第一主编"))</f>
        <v>0</v>
      </c>
      <c r="R5" s="42">
        <f>SUMPRODUCT((著作!C5:C32="组织部")*(著作!D5:D32="第一主编"))</f>
        <v>0</v>
      </c>
      <c r="S5" s="42">
        <f>SUMPRODUCT((著作!C5:C32="宣传部")*(著作!D5:D32="第一主编"))</f>
        <v>0</v>
      </c>
      <c r="T5" s="42">
        <f>SUMPRODUCT((著作!C5:C32="院办")*(著作!D5:D32="第一主编"))</f>
        <v>0</v>
      </c>
      <c r="U5" s="42">
        <f>SUMPRODUCT((著作!C5:C32="人事处")*(著作!D5:D32="第一主编"))</f>
        <v>0</v>
      </c>
      <c r="V5" s="42">
        <f>SUMPRODUCT((著作!C5:C32="招生就业处")*(著作!D5:D32="第一主编"))</f>
        <v>0</v>
      </c>
      <c r="W5" s="42">
        <f>SUMPRODUCT((著作!C5:C32="总务处")*(著作!D5:D32="第一主编"))</f>
        <v>0</v>
      </c>
      <c r="X5" s="42">
        <f>SUMPRODUCT((著作!C5:C32="保卫处")*(著作!D5:D32="第一主编"))</f>
        <v>0</v>
      </c>
      <c r="Y5" s="42">
        <f>SUMPRODUCT((著作!C5:C32="图书馆")*(著作!D5:D32="第一主编"))</f>
        <v>0</v>
      </c>
      <c r="Z5" s="42">
        <f>SUMPRODUCT((著作!C5:C32="职业技职鉴定培训中心")*(著作!D5:D32="第一主编"))</f>
        <v>0</v>
      </c>
      <c r="AA5" s="42">
        <f>SUMPRODUCT((著作!C5:C32="资产管理科")*(著作!D5:D32="第一主编"))</f>
        <v>0</v>
      </c>
      <c r="AB5" s="42">
        <f>SUMPRODUCT((著作!C5:C32="工会")*(著作!D5:D32="第一主编"))</f>
        <v>0</v>
      </c>
      <c r="AC5" s="42">
        <f>SUMPRODUCT((著作!C5:C32="财务处")*(著作!D5:D32="第一主编"))</f>
        <v>0</v>
      </c>
      <c r="AD5" s="42">
        <f>SUMPRODUCT((著作!C5:C32="技师学院")*(著作!D5:D32="第一主编"))</f>
        <v>0</v>
      </c>
      <c r="AE5" s="42">
        <f>SUMPRODUCT((著作!C5:C32="学院领导")*(著作!D5:D32="第一主编"))</f>
        <v>0</v>
      </c>
      <c r="AF5" s="42">
        <f t="shared" si="0"/>
        <v>0</v>
      </c>
    </row>
    <row r="6" ht="24.95" customHeight="1" spans="1:32">
      <c r="A6" s="40" t="s">
        <v>320</v>
      </c>
      <c r="B6" s="42">
        <f>COUNTIF(科研成果!C4:C767,"农学院")</f>
        <v>0</v>
      </c>
      <c r="C6" s="42">
        <f>COUNTIF(科研成果!C4:C767,"建筑工程学院")</f>
        <v>0</v>
      </c>
      <c r="D6" s="42">
        <f>COUNTIF(科研成果!C4:C767,"信息工程学院")</f>
        <v>0</v>
      </c>
      <c r="E6" s="42">
        <f>COUNTIF(科研成果!C4:C767,"生物工程学院")</f>
        <v>0</v>
      </c>
      <c r="F6" s="42">
        <f>COUNTIF(科研成果!C4:C767,"动物科技学院")</f>
        <v>0</v>
      </c>
      <c r="G6" s="42">
        <f>COUNTIF(科研成果!C4:C767,"机电工程学院")</f>
        <v>0</v>
      </c>
      <c r="H6" s="42">
        <f>COUNTIF(科研成果!C4:C767,"经贸学院")</f>
        <v>0</v>
      </c>
      <c r="I6" s="42">
        <f>COUNTIF(科研成果!C4:C767,"外国语学院")</f>
        <v>0</v>
      </c>
      <c r="J6" s="42">
        <f>COUNTIF(科研成果!C4:C767,"马克思主义理论课教学部")</f>
        <v>0</v>
      </c>
      <c r="K6" s="42">
        <f>COUNTIF(科研成果!C4:C767,"军事体育教学部")</f>
        <v>0</v>
      </c>
      <c r="L6" s="42">
        <f>COUNTIF(科研成果!C4:C4,"科技处")</f>
        <v>0</v>
      </c>
      <c r="M6" s="42">
        <f>COUNTIF(科研成果!C4:C767,"督导处")</f>
        <v>0</v>
      </c>
      <c r="N6" s="42">
        <f>COUNTIF(科研成果!C4:C767,"教务处")</f>
        <v>0</v>
      </c>
      <c r="O6" s="42">
        <f>COUNTIF(科研成果!C4:C767,"学工处")</f>
        <v>0</v>
      </c>
      <c r="P6" s="42">
        <f>COUNTIF(科研成果!C4:C767,"示范办")</f>
        <v>0</v>
      </c>
      <c r="Q6" s="42">
        <f>COUNTIF(科研成果!C4:C767,"实验中心")</f>
        <v>0</v>
      </c>
      <c r="R6" s="42">
        <f>COUNTIF(科研成果!C4:C767,"组织部")</f>
        <v>0</v>
      </c>
      <c r="S6" s="42">
        <f>COUNTIF(科研成果!C4:C767,"宣传部")</f>
        <v>0</v>
      </c>
      <c r="T6" s="42">
        <f>COUNTIF(科研成果!C4:C767,"院办")</f>
        <v>0</v>
      </c>
      <c r="U6" s="42">
        <f>COUNTIF(科研成果!C4:C767,"人事处")</f>
        <v>0</v>
      </c>
      <c r="V6" s="42">
        <f>COUNTIF(科研成果!C4:C767,"招生就业处")</f>
        <v>0</v>
      </c>
      <c r="W6" s="42">
        <f>COUNTIF(科研成果!C4:C767,"总务处")</f>
        <v>0</v>
      </c>
      <c r="X6" s="42">
        <f>COUNTIF(科研成果!C4:C767,"保卫处")</f>
        <v>0</v>
      </c>
      <c r="Y6" s="42">
        <f>COUNTIF(科研成果!C4:C767,"图书馆")</f>
        <v>0</v>
      </c>
      <c r="Z6" s="42">
        <f>COUNTIF(科研成果!C4:C767,"职业技能鉴定培训中心")</f>
        <v>0</v>
      </c>
      <c r="AA6" s="42">
        <f>COUNTIF(科研成果!C4:C767,"资产管理科")</f>
        <v>0</v>
      </c>
      <c r="AB6" s="42">
        <f>COUNTIF(科研成果!C4:C767,"工会")</f>
        <v>0</v>
      </c>
      <c r="AC6" s="42">
        <f>COUNTIF(科研成果!C4:C767,"财务处")</f>
        <v>0</v>
      </c>
      <c r="AD6" s="42">
        <f>COUNTIF(科研成果!C4:C767,"技师学院")</f>
        <v>0</v>
      </c>
      <c r="AE6" s="42">
        <f>COUNTIF(科研成果!C4:C767,"学院领导")</f>
        <v>0</v>
      </c>
      <c r="AF6" s="42">
        <f t="shared" si="0"/>
        <v>0</v>
      </c>
    </row>
    <row r="7" ht="24.95" customHeight="1" spans="1:32">
      <c r="A7" s="40" t="s">
        <v>321</v>
      </c>
      <c r="B7" s="42">
        <f>COUNTIF(论文评奖!C4:C6,"农学院")</f>
        <v>0</v>
      </c>
      <c r="C7" s="42">
        <f>COUNTIF(论文评奖!C4:C6,"建筑工程学院")</f>
        <v>0</v>
      </c>
      <c r="D7" s="42">
        <f>COUNTIF(论文评奖!C4:C6,"信息工程学院")</f>
        <v>0</v>
      </c>
      <c r="E7" s="42">
        <f>COUNTIF(论文评奖!C4:C6,"生物工程学院")</f>
        <v>0</v>
      </c>
      <c r="F7" s="42">
        <f>COUNTIF(论文评奖!C4:C6,"动物科技学院")</f>
        <v>0</v>
      </c>
      <c r="G7" s="42">
        <f>COUNTIF(论文评奖!C4:C6,"机电工程学院")</f>
        <v>0</v>
      </c>
      <c r="H7" s="42">
        <f>COUNTIF(论文评奖!C4:C6,"经贸学院")</f>
        <v>0</v>
      </c>
      <c r="I7" s="42">
        <f>COUNTIF(论文评奖!C4:C6,"外国语学院")</f>
        <v>0</v>
      </c>
      <c r="J7" s="42">
        <f>COUNTIF(论文评奖!C4:C6,"马克思主义理论课教学部")</f>
        <v>0</v>
      </c>
      <c r="K7" s="42">
        <f>COUNTIF(论文评奖!C4:C6,"军事体育教学部")</f>
        <v>0</v>
      </c>
      <c r="L7" s="42">
        <f>COUNTIF(论文评奖!C4:C6,"科技处")</f>
        <v>0</v>
      </c>
      <c r="M7" s="42">
        <f>COUNTIF(论文评奖!C4:C6,"督导处")</f>
        <v>0</v>
      </c>
      <c r="N7" s="42">
        <f>COUNTIF(论文评奖!C4:C6,"教务处")</f>
        <v>0</v>
      </c>
      <c r="O7" s="42">
        <f>COUNTIF(论文评奖!C4:C6,"学工处")</f>
        <v>0</v>
      </c>
      <c r="P7" s="42">
        <f>COUNTIF(论文评奖!C4:C6,"示范办")</f>
        <v>0</v>
      </c>
      <c r="Q7" s="42">
        <f>COUNTIF(论文评奖!$C$4:$C$6,"实验中心")</f>
        <v>0</v>
      </c>
      <c r="R7" s="42">
        <f>COUNTIF(论文评奖!$C$4:$C$6,"组织部")</f>
        <v>0</v>
      </c>
      <c r="S7" s="42">
        <f>COUNTIF(论文评奖!$C$4:$C$6,"宣传部")</f>
        <v>0</v>
      </c>
      <c r="T7" s="42">
        <f>COUNTIF(论文评奖!$C$4:$C$6,"院办")</f>
        <v>0</v>
      </c>
      <c r="U7" s="42">
        <f>COUNTIF(论文评奖!$C$4:$C$6,"人事处")</f>
        <v>0</v>
      </c>
      <c r="V7" s="42">
        <f>COUNTIF(论文评奖!$C$4:$C$6,"招生就业处")</f>
        <v>0</v>
      </c>
      <c r="W7" s="42">
        <f>COUNTIF(论文评奖!$C$4:$C$6,"总务处")</f>
        <v>0</v>
      </c>
      <c r="X7" s="42">
        <f>COUNTIF(论文评奖!$C$4:$C$6,"保卫处")</f>
        <v>0</v>
      </c>
      <c r="Y7" s="42">
        <f>COUNTIF(论文评奖!$C$4:$C$6,"图书馆")</f>
        <v>0</v>
      </c>
      <c r="Z7" s="42">
        <f>COUNTIF(论文评奖!$C$4:$C$6,"职业技能鉴定培训中心")</f>
        <v>0</v>
      </c>
      <c r="AA7" s="42">
        <f>COUNTIF(论文评奖!$C$4:$C$6,"资产管理科")</f>
        <v>0</v>
      </c>
      <c r="AB7" s="42">
        <f>COUNTIF(论文评奖!$C$4:$C$6,"工会")</f>
        <v>0</v>
      </c>
      <c r="AC7" s="42">
        <f>COUNTIF(论文评奖!C5:C840,"财务处")</f>
        <v>0</v>
      </c>
      <c r="AD7" s="42">
        <f>COUNTIF(论文评奖!$C$4:$C$6,"技师学院")</f>
        <v>0</v>
      </c>
      <c r="AE7" s="42">
        <f>COUNTIF(论文评奖!$C$4:$C$6,"学院领导")</f>
        <v>0</v>
      </c>
      <c r="AF7" s="42">
        <f t="shared" si="0"/>
        <v>0</v>
      </c>
    </row>
    <row r="8" ht="24.95" customHeight="1" spans="1:32">
      <c r="A8" s="40" t="s">
        <v>322</v>
      </c>
      <c r="B8" s="42">
        <f>COUNTIF(教师参赛获奖!C4:C6,"农学院")</f>
        <v>0</v>
      </c>
      <c r="C8" s="42">
        <f>COUNTIF(教师参赛获奖!C4:C6,"建筑工程学院")</f>
        <v>0</v>
      </c>
      <c r="D8" s="42">
        <f>COUNTIF(教师参赛获奖!C4:C6,"信息工程学院")</f>
        <v>0</v>
      </c>
      <c r="E8" s="42">
        <f>COUNTIF(教师参赛获奖!C4:C6,"生物工程学院")</f>
        <v>0</v>
      </c>
      <c r="F8" s="42">
        <f>COUNTIF(教师参赛获奖!C4:C6,"动物科技学院")</f>
        <v>0</v>
      </c>
      <c r="G8" s="42">
        <f>COUNTIF(教师参赛获奖!C4:C6,"机电工程学院")</f>
        <v>0</v>
      </c>
      <c r="H8" s="42">
        <f>COUNTIF(教师参赛获奖!C4:C6,"经贸学院")</f>
        <v>0</v>
      </c>
      <c r="I8" s="42">
        <f>COUNTIF(教师参赛获奖!C4:C6,"外国语学院")</f>
        <v>0</v>
      </c>
      <c r="J8" s="42">
        <f>COUNTIF(教师参赛获奖!C4:C6,"马克思主义理论课教学部")</f>
        <v>0</v>
      </c>
      <c r="K8" s="42">
        <f>COUNTIF(教师参赛获奖!C4:C6,"军事体育教学部")</f>
        <v>0</v>
      </c>
      <c r="L8" s="42">
        <f>COUNTIF(教师参赛获奖!C4:C6,"科技处")</f>
        <v>0</v>
      </c>
      <c r="M8" s="42">
        <f>COUNTIF(教师参赛获奖!C4:C6,"督导处")</f>
        <v>0</v>
      </c>
      <c r="N8" s="42">
        <f>COUNTIF(教师参赛获奖!C4:C6,"教务处")</f>
        <v>0</v>
      </c>
      <c r="O8" s="42">
        <f>COUNTIF(教师参赛获奖!C4:C6,"学工处")</f>
        <v>0</v>
      </c>
      <c r="P8" s="42">
        <f>COUNTIF(教师参赛获奖!C4:C6,"示范办")</f>
        <v>0</v>
      </c>
      <c r="Q8" s="42">
        <f>COUNTIF(教师参赛获奖!$C$4:$C$6,"实验中心")</f>
        <v>0</v>
      </c>
      <c r="R8" s="42">
        <f>COUNTIF(教师参赛获奖!$C$4:$C$6,"组织部")</f>
        <v>0</v>
      </c>
      <c r="S8" s="42">
        <f>COUNTIF(教师参赛获奖!$C$4:$C$6,"宣传部")</f>
        <v>0</v>
      </c>
      <c r="T8" s="42">
        <f>COUNTIF(教师参赛获奖!$C$4:$C$6,"院办")</f>
        <v>0</v>
      </c>
      <c r="U8" s="42">
        <f>COUNTIF(教师参赛获奖!$C$4:$C$6,"人事处")</f>
        <v>0</v>
      </c>
      <c r="V8" s="42">
        <f>COUNTIF(教师参赛获奖!$C$4:$C$6,"招生就业处")</f>
        <v>0</v>
      </c>
      <c r="W8" s="42">
        <f>COUNTIF(教师参赛获奖!$C$4:$C$6,"总务处")</f>
        <v>0</v>
      </c>
      <c r="X8" s="42">
        <f>COUNTIF(教师参赛获奖!$C$4:$C$6,"保卫处")</f>
        <v>0</v>
      </c>
      <c r="Y8" s="42">
        <f>COUNTIF(教师参赛获奖!$C$4:$C$6,"图书馆")</f>
        <v>0</v>
      </c>
      <c r="Z8" s="42">
        <f>COUNTIF(教师参赛获奖!$C$4:$C$6,"职业技能鉴定培训中心")</f>
        <v>0</v>
      </c>
      <c r="AA8" s="42">
        <f>COUNTIF(教师参赛获奖!$C$4:$C$6,"资产管理科")</f>
        <v>0</v>
      </c>
      <c r="AB8" s="42">
        <f>COUNTIF(教师参赛获奖!$C$4:$C$6,"工会")</f>
        <v>0</v>
      </c>
      <c r="AC8" s="42">
        <f>COUNTIF(教师参赛获奖!C5:C53,"财务处")</f>
        <v>0</v>
      </c>
      <c r="AD8" s="42">
        <f>COUNTIF(教师参赛获奖!$C$4:$C$6,"技师学院")</f>
        <v>0</v>
      </c>
      <c r="AE8" s="42">
        <f>COUNTIF(教师参赛获奖!$C$4:$C$6,"学院领导")</f>
        <v>0</v>
      </c>
      <c r="AF8" s="42">
        <f t="shared" si="0"/>
        <v>0</v>
      </c>
    </row>
    <row r="9" ht="24.95" customHeight="1" spans="1:32">
      <c r="A9" s="40" t="s">
        <v>323</v>
      </c>
      <c r="B9" s="42">
        <f>COUNTIF(多媒体课件获奖!C4:C8,"农学院")</f>
        <v>0</v>
      </c>
      <c r="C9" s="42">
        <f>COUNTIF(多媒体课件获奖!C4:C8,"建筑工程学院")</f>
        <v>0</v>
      </c>
      <c r="D9" s="42">
        <f>COUNTIF(多媒体课件获奖!C4:C8,"信息工程学院")</f>
        <v>0</v>
      </c>
      <c r="E9" s="42">
        <f>COUNTIF(多媒体课件获奖!C4:C8,"生物工程学院")</f>
        <v>0</v>
      </c>
      <c r="F9" s="42">
        <f>COUNTIF(多媒体课件获奖!C4:C8,"动物科技学院")</f>
        <v>0</v>
      </c>
      <c r="G9" s="42">
        <f>COUNTIF(多媒体课件获奖!C4:C8,"机电工程学院")</f>
        <v>0</v>
      </c>
      <c r="H9" s="42">
        <f>COUNTIF(多媒体课件获奖!C4:C8,"经贸学院")</f>
        <v>0</v>
      </c>
      <c r="I9" s="42">
        <f>COUNTIF(多媒体课件获奖!C4:C8,"外国语学院")</f>
        <v>0</v>
      </c>
      <c r="J9" s="42">
        <f>COUNTIF(多媒体课件获奖!C4:C8,"马克思主义理论课教学部")</f>
        <v>0</v>
      </c>
      <c r="K9" s="42">
        <f>COUNTIF(多媒体课件获奖!C4:C8,"军事体育教学部")</f>
        <v>0</v>
      </c>
      <c r="L9" s="42">
        <f>COUNTIF(多媒体课件获奖!C4:C8,"科技处")</f>
        <v>0</v>
      </c>
      <c r="M9" s="42">
        <f>COUNTIF(多媒体课件获奖!C4:C8,"督导处")</f>
        <v>0</v>
      </c>
      <c r="N9" s="42">
        <f>COUNTIF(多媒体课件获奖!C4:C8,"教务处")</f>
        <v>0</v>
      </c>
      <c r="O9" s="42">
        <f>COUNTIF(多媒体课件获奖!C4:C8,"学工处")</f>
        <v>0</v>
      </c>
      <c r="P9" s="42">
        <f>COUNTIF(多媒体课件获奖!C4:C8,"示范办")</f>
        <v>0</v>
      </c>
      <c r="Q9" s="42">
        <f>COUNTIF(多媒体课件获奖!$C$4:$C$8,"实验中心")</f>
        <v>0</v>
      </c>
      <c r="R9" s="42">
        <f>COUNTIF(多媒体课件获奖!$C$4:$C$8,"组织部")</f>
        <v>0</v>
      </c>
      <c r="S9" s="42">
        <f>COUNTIF(多媒体课件获奖!$C$4:$C$8,"宣传部")</f>
        <v>0</v>
      </c>
      <c r="T9" s="42">
        <f>COUNTIF(多媒体课件获奖!$C$4:$C$8,"院办")</f>
        <v>0</v>
      </c>
      <c r="U9" s="42">
        <f>COUNTIF(多媒体课件获奖!$C$4:$C$8,"人事处")</f>
        <v>0</v>
      </c>
      <c r="V9" s="42">
        <f>COUNTIF(多媒体课件获奖!$C$4:$C$8,"招生就业处")</f>
        <v>0</v>
      </c>
      <c r="W9" s="42">
        <f>COUNTIF(多媒体课件获奖!$C$4:$C$8,"总务处")</f>
        <v>0</v>
      </c>
      <c r="X9" s="42">
        <f>COUNTIF(多媒体课件获奖!$C$4:$C$8,"保卫处")</f>
        <v>0</v>
      </c>
      <c r="Y9" s="42">
        <f>COUNTIF(多媒体课件获奖!$C$4:$C$8,"图书馆")</f>
        <v>0</v>
      </c>
      <c r="Z9" s="42">
        <f>COUNTIF(多媒体课件获奖!$C$4:$C$8,"职业技能鉴定培训中心")</f>
        <v>0</v>
      </c>
      <c r="AA9" s="42">
        <f>COUNTIF(多媒体课件获奖!$C$4:$C$8,"资产管理科")</f>
        <v>0</v>
      </c>
      <c r="AB9" s="42">
        <f>COUNTIF(多媒体课件获奖!$C$4:$C$8,"工会")</f>
        <v>0</v>
      </c>
      <c r="AC9" s="42">
        <f>COUNTIF(多媒体课件获奖!C5:C8,"财务处")</f>
        <v>0</v>
      </c>
      <c r="AD9" s="42">
        <f>COUNTIF(多媒体课件获奖!$C$4:$C$8,"技师学院")</f>
        <v>0</v>
      </c>
      <c r="AE9" s="42">
        <f>COUNTIF(多媒体课件获奖!$C$4:$C$8,"学院领导")</f>
        <v>0</v>
      </c>
      <c r="AF9" s="42">
        <f t="shared" si="0"/>
        <v>0</v>
      </c>
    </row>
    <row r="10" ht="24.95" customHeight="1" spans="1:32">
      <c r="A10" s="40" t="s">
        <v>216</v>
      </c>
      <c r="B10" s="42">
        <f>COUNTIF(优秀指导教师!C4:C7,"农学院")</f>
        <v>0</v>
      </c>
      <c r="C10" s="42">
        <f>COUNTIF(优秀指导教师!C4:C7,"建筑工程学院")</f>
        <v>0</v>
      </c>
      <c r="D10" s="42">
        <f>COUNTIF(优秀指导教师!C4:C7,"信息工程学院")</f>
        <v>0</v>
      </c>
      <c r="E10" s="42">
        <f>COUNTIF(优秀指导教师!C4:C7,"生物工程学院")</f>
        <v>0</v>
      </c>
      <c r="F10" s="42">
        <f>COUNTIF(优秀指导教师!C4:C7,"动物科技学院")</f>
        <v>0</v>
      </c>
      <c r="G10" s="42">
        <f>COUNTIF(优秀指导教师!C4:C7,"机电工程学院")</f>
        <v>1</v>
      </c>
      <c r="H10" s="42">
        <f>COUNTIF(优秀指导教师!C4:C7,"经贸学院")</f>
        <v>0</v>
      </c>
      <c r="I10" s="42">
        <f>COUNTIF(优秀指导教师!C4:C7,"外国语学院")</f>
        <v>0</v>
      </c>
      <c r="J10" s="42">
        <f>COUNTIF(优秀指导教师!C4:C7,"马克思主义理论课教学部")</f>
        <v>0</v>
      </c>
      <c r="K10" s="42">
        <f>COUNTIF(优秀指导教师!C4:C7,"军事体育教学部")</f>
        <v>0</v>
      </c>
      <c r="L10" s="42">
        <f>COUNTIF(优秀指导教师!C4:C7,"科技处")</f>
        <v>0</v>
      </c>
      <c r="M10" s="42">
        <f>COUNTIF(优秀指导教师!C4:C7,"督导处")</f>
        <v>0</v>
      </c>
      <c r="N10" s="42">
        <f>COUNTIF(优秀指导教师!C4:C7,"教务处")</f>
        <v>0</v>
      </c>
      <c r="O10" s="42">
        <f>COUNTIF(优秀指导教师!C4:C7,"学工处")</f>
        <v>0</v>
      </c>
      <c r="P10" s="42">
        <f>COUNTIF(优秀指导教师!C4:C7,"示范办")</f>
        <v>0</v>
      </c>
      <c r="Q10" s="42">
        <f>COUNTIF(优秀指导教师!$C$4:$C$7,"实验中心")</f>
        <v>0</v>
      </c>
      <c r="R10" s="42">
        <f>COUNTIF(优秀指导教师!$C$4:$C$7,"组织部")</f>
        <v>0</v>
      </c>
      <c r="S10" s="42">
        <f>COUNTIF(优秀指导教师!$C$4:$C$7,"宣传部")</f>
        <v>0</v>
      </c>
      <c r="T10" s="42">
        <f>COUNTIF(优秀指导教师!$C$4:$C$7,"院办")</f>
        <v>0</v>
      </c>
      <c r="U10" s="42">
        <f>COUNTIF(优秀指导教师!$C$4:$C$7,"人事处")</f>
        <v>0</v>
      </c>
      <c r="V10" s="42">
        <f>COUNTIF(优秀指导教师!$C$4:$C$7,"招生就业处")</f>
        <v>0</v>
      </c>
      <c r="W10" s="42">
        <f>COUNTIF(优秀指导教师!$C$4:$C$7,"总务处")</f>
        <v>0</v>
      </c>
      <c r="X10" s="42">
        <f>COUNTIF(优秀指导教师!$C$4:$C$7,"保卫处")</f>
        <v>0</v>
      </c>
      <c r="Y10" s="42">
        <f>COUNTIF(优秀指导教师!$C$4:$C$7,"图书馆")</f>
        <v>0</v>
      </c>
      <c r="Z10" s="42">
        <f>COUNTIF(优秀指导教师!$C$4:$C$7,"职业技能鉴定培训中心")</f>
        <v>0</v>
      </c>
      <c r="AA10" s="42">
        <f>COUNTIF(优秀指导教师!$C$4:$C$7,"资产管理科")</f>
        <v>0</v>
      </c>
      <c r="AB10" s="42">
        <f>COUNTIF(优秀指导教师!$C$4:$C$7,"工会")</f>
        <v>0</v>
      </c>
      <c r="AC10" s="42">
        <f>COUNTIF(优秀指导教师!C5:C7,"财务处")</f>
        <v>0</v>
      </c>
      <c r="AD10" s="42">
        <f>COUNTIF(优秀指导教师!$C$4:$C$7,"技师学院")</f>
        <v>0</v>
      </c>
      <c r="AE10" s="42">
        <f>COUNTIF(优秀指导教师!$C$4:$C$7,"学院领导")</f>
        <v>0</v>
      </c>
      <c r="AF10" s="42">
        <f t="shared" si="0"/>
        <v>1</v>
      </c>
    </row>
    <row r="11" ht="24.95" customHeight="1" spans="1:32">
      <c r="A11" s="40" t="s">
        <v>324</v>
      </c>
      <c r="B11" s="42">
        <f>COUNTIF(品种审定!C4:C8,"农学院")</f>
        <v>0</v>
      </c>
      <c r="C11" s="42">
        <f>COUNTIF(品种审定!C4:C8,"建筑工程学院")</f>
        <v>0</v>
      </c>
      <c r="D11" s="42">
        <f>COUNTIF(品种审定!C4:C8,"信息工程学院")</f>
        <v>0</v>
      </c>
      <c r="E11" s="42">
        <f>COUNTIF(品种审定!C4:C8,"生物工程学院")</f>
        <v>0</v>
      </c>
      <c r="F11" s="42">
        <f>COUNTIF(品种审定!C4:C8,"动物科技学院")</f>
        <v>0</v>
      </c>
      <c r="G11" s="42">
        <f>COUNTIF(品种审定!C4:C8,"机电工程学院")</f>
        <v>0</v>
      </c>
      <c r="H11" s="42">
        <f>COUNTIF(品种审定!C4:C8,"经贸学院")</f>
        <v>0</v>
      </c>
      <c r="I11" s="42">
        <f>COUNTIF(品种审定!C4:C8,"外国语学院")</f>
        <v>0</v>
      </c>
      <c r="J11" s="42">
        <f>COUNTIF(品种审定!C4:C8,"马克思主义理论课教学部")</f>
        <v>0</v>
      </c>
      <c r="K11" s="42">
        <f>COUNTIF(品种审定!C4:C8,"军事体育教学部")</f>
        <v>0</v>
      </c>
      <c r="L11" s="42">
        <f>COUNTIF(品种审定!C4:C8,"科技处")</f>
        <v>0</v>
      </c>
      <c r="M11" s="42">
        <f>COUNTIF(品种审定!C4:C8,"督导处")</f>
        <v>0</v>
      </c>
      <c r="N11" s="42">
        <f>COUNTIF(品种审定!C4:C8,"教务处")</f>
        <v>0</v>
      </c>
      <c r="O11" s="42">
        <f>COUNTIF(品种审定!C4:C8,"学工处")</f>
        <v>0</v>
      </c>
      <c r="P11" s="42">
        <f>COUNTIF(品种审定!C4:C8,"示范办")</f>
        <v>0</v>
      </c>
      <c r="Q11" s="42">
        <f>COUNTIF(品种审定!$C$5:$C$8,"实验中心")</f>
        <v>0</v>
      </c>
      <c r="R11" s="42">
        <f>COUNTIF(品种审定!$C$5:$C$8,"组织部")</f>
        <v>0</v>
      </c>
      <c r="S11" s="42">
        <f>COUNTIF(品种审定!$C$5:$C$8,"宣传部")</f>
        <v>0</v>
      </c>
      <c r="T11" s="42">
        <f>COUNTIF(品种审定!$C$5:$C$8,"院办")</f>
        <v>0</v>
      </c>
      <c r="U11" s="42">
        <f>COUNTIF(品种审定!$C$5:$C$8,"人事处")</f>
        <v>0</v>
      </c>
      <c r="V11" s="42">
        <f>COUNTIF(品种审定!$C$5:$C$8,"招生就业处")</f>
        <v>0</v>
      </c>
      <c r="W11" s="42">
        <f>COUNTIF(品种审定!$C$5:$C$8,"总务处")</f>
        <v>0</v>
      </c>
      <c r="X11" s="42">
        <f>COUNTIF(品种审定!$C$5:$C$8,"保卫处")</f>
        <v>0</v>
      </c>
      <c r="Y11" s="42">
        <f>COUNTIF(品种审定!$C$5:$C$8,"图书馆")</f>
        <v>0</v>
      </c>
      <c r="Z11" s="42">
        <f>COUNTIF(品种审定!$C$5:$C$8,"职业技能鉴定培训中心")</f>
        <v>0</v>
      </c>
      <c r="AA11" s="42">
        <f>COUNTIF(品种审定!$C$5:$C$8,"资产管理科")</f>
        <v>0</v>
      </c>
      <c r="AB11" s="42">
        <f>COUNTIF(品种审定!$C$5:$C$8,"工会")</f>
        <v>0</v>
      </c>
      <c r="AC11" s="42">
        <f>COUNTIF(品种审定!C5:C9,"财务处")</f>
        <v>0</v>
      </c>
      <c r="AD11" s="42">
        <f>COUNTIF(品种审定!$C$5:$C$8,"技师学院")</f>
        <v>0</v>
      </c>
      <c r="AE11" s="42">
        <f>COUNTIF(品种审定!$C$5:$C$8,"学院领导")</f>
        <v>0</v>
      </c>
      <c r="AF11" s="42">
        <f t="shared" si="0"/>
        <v>0</v>
      </c>
    </row>
    <row r="12" ht="24.95" customHeight="1" spans="1:32">
      <c r="A12" s="40" t="s">
        <v>325</v>
      </c>
      <c r="B12" s="42">
        <f>COUNTIF(专利!C4:C9,"农学院")</f>
        <v>0</v>
      </c>
      <c r="C12" s="42">
        <f>COUNTIF(专利!C4:C9,"建筑工程学院")</f>
        <v>0</v>
      </c>
      <c r="D12" s="42">
        <f>COUNTIF(专利!C4:C9,"信息工程学院")</f>
        <v>0</v>
      </c>
      <c r="E12" s="42">
        <f>COUNTIF(专利!C4:C9,"生物工程学院")</f>
        <v>0</v>
      </c>
      <c r="F12" s="42">
        <f>COUNTIF(专利!C4:C9,"动物科技学院")</f>
        <v>0</v>
      </c>
      <c r="G12" s="42">
        <f>COUNTIF(专利!C4:C9,"机电工程学院")</f>
        <v>5</v>
      </c>
      <c r="H12" s="42">
        <f>COUNTIF(专利!C4:C9,"经贸学院")</f>
        <v>0</v>
      </c>
      <c r="I12" s="42">
        <f>COUNTIF(专利!C4:C9,"外国语学院")</f>
        <v>0</v>
      </c>
      <c r="J12" s="42">
        <f>COUNTIF(专利!C4:C9,"马克思主义理论课教学部")</f>
        <v>0</v>
      </c>
      <c r="K12" s="42">
        <f>COUNTIF(专利!C4:C9,"军事体育教学部")</f>
        <v>0</v>
      </c>
      <c r="L12" s="42">
        <f>COUNTIF(专利!C4:C9,"科技处")</f>
        <v>0</v>
      </c>
      <c r="M12" s="42">
        <f>COUNTIF(专利!C4:C9,"督导处")</f>
        <v>0</v>
      </c>
      <c r="N12" s="42">
        <f>COUNTIF(专利!C4:C9,"教务处")</f>
        <v>0</v>
      </c>
      <c r="O12" s="42">
        <f>COUNTIF(专利!C4:C9,"学工处")</f>
        <v>0</v>
      </c>
      <c r="P12" s="42">
        <f>COUNTIF(专利!C4:C9,"示范办")</f>
        <v>0</v>
      </c>
      <c r="Q12" s="42">
        <f>COUNTIF(专利!$C$4:$C$9,"实验中心")</f>
        <v>0</v>
      </c>
      <c r="R12" s="42">
        <f>COUNTIF(专利!$C$4:$C$9,"组织部")</f>
        <v>0</v>
      </c>
      <c r="S12" s="42">
        <f>COUNTIF(专利!$C$4:$C$9,"宣传部")</f>
        <v>0</v>
      </c>
      <c r="T12" s="42">
        <f>COUNTIF(专利!$C$4:$C$9,"院办")</f>
        <v>0</v>
      </c>
      <c r="U12" s="42">
        <f>COUNTIF(专利!$C$4:$C$9,"人事处")</f>
        <v>0</v>
      </c>
      <c r="V12" s="42">
        <f>COUNTIF(专利!$C$4:$C$9,"招生就业处")</f>
        <v>0</v>
      </c>
      <c r="W12" s="42">
        <f>COUNTIF(专利!$C$4:$C$9,"总务处")</f>
        <v>0</v>
      </c>
      <c r="X12" s="42">
        <f>COUNTIF(专利!$C$4:$C$9,"保卫处")</f>
        <v>0</v>
      </c>
      <c r="Y12" s="42">
        <f>COUNTIF(专利!$C$4:$C$9,"图书馆")</f>
        <v>0</v>
      </c>
      <c r="Z12" s="42">
        <f>COUNTIF(专利!$C$4:$C$9,"职业技能鉴定培训中心")</f>
        <v>0</v>
      </c>
      <c r="AA12" s="42">
        <f>COUNTIF(专利!$C$4:$C$9,"资产管理科")</f>
        <v>0</v>
      </c>
      <c r="AB12" s="42">
        <f>COUNTIF(专利!$C$4:$C$9,"工会")</f>
        <v>0</v>
      </c>
      <c r="AC12" s="42">
        <f>COUNTIF(专利!C4:C77,"财务处")</f>
        <v>0</v>
      </c>
      <c r="AD12" s="42">
        <f>COUNTIF(专利!$C$4:$C$9,"技师学院")</f>
        <v>0</v>
      </c>
      <c r="AE12" s="42">
        <f>COUNTIF(专利!$C$4:$C$9,"学院领导")</f>
        <v>0</v>
      </c>
      <c r="AF12" s="42">
        <f t="shared" si="0"/>
        <v>5</v>
      </c>
    </row>
    <row r="13" ht="24.95" hidden="1" customHeight="1" spans="1:32">
      <c r="A13" s="40" t="s">
        <v>326</v>
      </c>
      <c r="B13" s="42">
        <f>COUNTIF(教师知识咨询!C5:C8,"农学院")</f>
        <v>0</v>
      </c>
      <c r="C13" s="42">
        <f>COUNTIF(教师知识咨询!C5:C8,"建筑工程学院")</f>
        <v>0</v>
      </c>
      <c r="D13" s="42">
        <f>COUNTIF(教师知识咨询!C5:C8,"信息工程学院")</f>
        <v>0</v>
      </c>
      <c r="E13" s="42">
        <f>COUNTIF(教师知识咨询!C5:C8,"生物工程学院")</f>
        <v>0</v>
      </c>
      <c r="F13" s="42">
        <f>COUNTIF(教师知识咨询!C5:C8,"动物科技学院")</f>
        <v>0</v>
      </c>
      <c r="G13" s="42">
        <f>COUNTIF(教师知识咨询!C5:C8,"机电工程学院")</f>
        <v>0</v>
      </c>
      <c r="H13" s="42">
        <f>COUNTIF(教师知识咨询!C5:C8,"经贸学院")</f>
        <v>0</v>
      </c>
      <c r="I13" s="42">
        <f>COUNTIF(教师知识咨询!C5:C8,"外国语学院")</f>
        <v>0</v>
      </c>
      <c r="J13" s="42">
        <f>COUNTIF(教师知识咨询!C5:C8,"马克思主义理论课教学部")</f>
        <v>0</v>
      </c>
      <c r="K13" s="42">
        <f>COUNTIF(教师知识咨询!C5:C8,"军事体育教学部")</f>
        <v>0</v>
      </c>
      <c r="L13" s="42">
        <f>COUNTIF(教师知识咨询!C5:C8,"科技处")</f>
        <v>0</v>
      </c>
      <c r="M13" s="42">
        <f>COUNTIF(教师知识咨询!C5:C8,"督导处")</f>
        <v>0</v>
      </c>
      <c r="N13" s="42">
        <f>COUNTIF(教师知识咨询!C5:C8,"教务处")</f>
        <v>0</v>
      </c>
      <c r="O13" s="42">
        <f>COUNTIF(教师知识咨询!C5:C8,"学工处")</f>
        <v>0</v>
      </c>
      <c r="P13" s="42">
        <f>COUNTIF(教师知识咨询!C5:C8,"示范办")</f>
        <v>0</v>
      </c>
      <c r="Q13" s="42">
        <f>COUNTIF(教师知识咨询!$C$5:$C$8,"实验中心")</f>
        <v>0</v>
      </c>
      <c r="R13" s="42">
        <f>COUNTIF(教师知识咨询!$C$5:$C$8,"组织部")</f>
        <v>0</v>
      </c>
      <c r="S13" s="42">
        <f>COUNTIF(教师知识咨询!$C$5:$C$8,"宣传部")</f>
        <v>0</v>
      </c>
      <c r="T13" s="42">
        <f>COUNTIF(教师知识咨询!$C$5:$C$8,"院办")</f>
        <v>0</v>
      </c>
      <c r="U13" s="42">
        <f>COUNTIF(教师知识咨询!$C$5:$C$8,"人事处")</f>
        <v>0</v>
      </c>
      <c r="V13" s="42">
        <f>COUNTIF(教师知识咨询!$C$5:$C$8,"招生就业处")</f>
        <v>0</v>
      </c>
      <c r="W13" s="42">
        <f>COUNTIF(教师知识咨询!$C$5:$C$8,"总务处")</f>
        <v>0</v>
      </c>
      <c r="X13" s="42">
        <f>COUNTIF(教师知识咨询!$C$5:$C$8,"保卫处")</f>
        <v>0</v>
      </c>
      <c r="Y13" s="42">
        <f>COUNTIF(教师知识咨询!$C$5:$C$8,"图书馆")</f>
        <v>0</v>
      </c>
      <c r="Z13" s="42">
        <f>COUNTIF(教师知识咨询!$C$5:$C$8,"职业技能鉴定培训中心")</f>
        <v>0</v>
      </c>
      <c r="AA13" s="42">
        <f>COUNTIF(教师知识咨询!$C$5:$C$8,"资产管理科")</f>
        <v>0</v>
      </c>
      <c r="AB13" s="42">
        <f>COUNTIF(教师知识咨询!$C$5:$C$8,"工会")</f>
        <v>0</v>
      </c>
      <c r="AC13" s="42">
        <f>COUNTIF(教师知识咨询!C5:C8,"财务处")</f>
        <v>0</v>
      </c>
      <c r="AD13" s="42">
        <f>COUNTIF(教师知识咨询!$C$5:$C$8,"技师学院")</f>
        <v>0</v>
      </c>
      <c r="AE13" s="42">
        <f>COUNTIF(教师知识咨询!$C$5:$C$8,"学院领导")</f>
        <v>0</v>
      </c>
      <c r="AF13" s="42">
        <f t="shared" si="0"/>
        <v>0</v>
      </c>
    </row>
    <row r="14" ht="24.95" hidden="1" customHeight="1" spans="1:32">
      <c r="A14" s="40" t="s">
        <v>327</v>
      </c>
      <c r="B14" s="42">
        <f>COUNTIF(教师技术服务!C5:C14,"农学院")</f>
        <v>0</v>
      </c>
      <c r="C14" s="42">
        <f>COUNTIF(教师技术服务!C5:C14,"建筑工程学院")</f>
        <v>0</v>
      </c>
      <c r="D14" s="42">
        <f>COUNTIF(教师技术服务!C5:C14,"信息工程学院")</f>
        <v>0</v>
      </c>
      <c r="E14" s="42">
        <f>COUNTIF(教师技术服务!C5:C14,"生物工程学院")</f>
        <v>0</v>
      </c>
      <c r="F14" s="42">
        <f>COUNTIF(教师技术服务!C5:C14,"动物科技学院")</f>
        <v>0</v>
      </c>
      <c r="G14" s="42">
        <f>COUNTIF(教师技术服务!C5:C14,"机电工程学院")</f>
        <v>0</v>
      </c>
      <c r="H14" s="42">
        <f>COUNTIF(教师技术服务!C5:C14,"经贸学院")</f>
        <v>0</v>
      </c>
      <c r="I14" s="42">
        <f>COUNTIF(教师技术服务!C5:C14,"外国语学院")</f>
        <v>0</v>
      </c>
      <c r="J14" s="42">
        <f>COUNTIF(教师技术服务!C5:C14,"马克思主义理论课教学部")</f>
        <v>0</v>
      </c>
      <c r="K14" s="42">
        <f>COUNTIF(教师技术服务!C5:C14,"军事体育教学部")</f>
        <v>0</v>
      </c>
      <c r="L14" s="42">
        <f>COUNTIF(教师技术服务!C5:C14,"科技处")</f>
        <v>0</v>
      </c>
      <c r="M14" s="42">
        <f>COUNTIF(教师技术服务!C5:C14,"督导处")</f>
        <v>0</v>
      </c>
      <c r="N14" s="42">
        <f>COUNTIF(教师技术服务!C5:C14,"教务处")</f>
        <v>0</v>
      </c>
      <c r="O14" s="42">
        <f>COUNTIF(教师技术服务!C5:C14,"学工处")</f>
        <v>0</v>
      </c>
      <c r="P14" s="42">
        <f>COUNTIF(教师技术服务!C5:C14,"示范办")</f>
        <v>0</v>
      </c>
      <c r="Q14" s="42">
        <f>COUNTIF(教师知识咨询!$C$5:$C$8,"实验中心")</f>
        <v>0</v>
      </c>
      <c r="R14" s="42">
        <f>COUNTIF(教师知识咨询!$C$5:$C$8,"组织部")</f>
        <v>0</v>
      </c>
      <c r="S14" s="42">
        <f>COUNTIF(教师知识咨询!$C$5:$C$8,"宣传部")</f>
        <v>0</v>
      </c>
      <c r="T14" s="42">
        <f>COUNTIF(教师知识咨询!$C$5:$C$8,"院办")</f>
        <v>0</v>
      </c>
      <c r="U14" s="42">
        <f>COUNTIF(教师知识咨询!$C$5:$C$8,"人事处")</f>
        <v>0</v>
      </c>
      <c r="V14" s="42">
        <f>COUNTIF(教师知识咨询!$C$5:$C$8,"招生就业处")</f>
        <v>0</v>
      </c>
      <c r="W14" s="42">
        <f>COUNTIF(教师知识咨询!$C$5:$C$8,"总务处")</f>
        <v>0</v>
      </c>
      <c r="X14" s="42">
        <f>COUNTIF(教师知识咨询!$C$5:$C$8,"保卫处")</f>
        <v>0</v>
      </c>
      <c r="Y14" s="42">
        <f>COUNTIF(教师知识咨询!$C$5:$C$8,"图书馆")</f>
        <v>0</v>
      </c>
      <c r="Z14" s="42">
        <f>COUNTIF(教师知识咨询!$C$5:$C$8,"职业技能鉴定培训中心")</f>
        <v>0</v>
      </c>
      <c r="AA14" s="42">
        <f>COUNTIF(教师知识咨询!$C$5:$C$8,"资产管理科")</f>
        <v>0</v>
      </c>
      <c r="AB14" s="42">
        <f>COUNTIF(教师知识咨询!$C$5:$C$8,"工会")</f>
        <v>0</v>
      </c>
      <c r="AC14" s="42">
        <f>COUNTIF(教师技术服务!C5:C246,"财务处")</f>
        <v>0</v>
      </c>
      <c r="AD14" s="42">
        <f>COUNTIF(教师知识咨询!$C$5:$C$8,"技师学院")</f>
        <v>0</v>
      </c>
      <c r="AE14" s="42">
        <f>COUNTIF(教师知识咨询!$C$5:$C$8,"学院领导")</f>
        <v>0</v>
      </c>
      <c r="AF14" s="42">
        <f t="shared" si="0"/>
        <v>0</v>
      </c>
    </row>
    <row r="15" ht="24.95" hidden="1" customHeight="1" spans="1:32">
      <c r="A15" s="40" t="s">
        <v>328</v>
      </c>
      <c r="B15" s="42">
        <f>COUNTIF(课题立项结题!$C$4:$C$6,"农学院")</f>
        <v>0</v>
      </c>
      <c r="C15" s="42">
        <f>COUNTIF(课题立项结题!$C$4:$C$6,"建筑工程学院")</f>
        <v>0</v>
      </c>
      <c r="D15" s="42">
        <f>COUNTIF(课题立项结题!$C$4:$C$6,"信息工程学院")</f>
        <v>0</v>
      </c>
      <c r="E15" s="42">
        <f>COUNTIF(课题立项结题!$C$4:$C$6,"生物工程学院")</f>
        <v>0</v>
      </c>
      <c r="F15" s="42">
        <f>COUNTIF(课题立项结题!$C$4:$C$6,"动物科技学院")</f>
        <v>0</v>
      </c>
      <c r="G15" s="42">
        <f>COUNTIF(课题立项结题!$C$4:$C$6,"机电工程学院")</f>
        <v>0</v>
      </c>
      <c r="H15" s="42">
        <f>COUNTIF(课题立项结题!$C$4:$C$6,"经贸学院")</f>
        <v>0</v>
      </c>
      <c r="I15" s="42">
        <f>COUNTIF(课题立项结题!$C$4:$C$6,"外国语学院")</f>
        <v>0</v>
      </c>
      <c r="J15" s="42">
        <f>COUNTIF(课题立项结题!$C$4:$C$6,"马克思主义理论课教学部")</f>
        <v>0</v>
      </c>
      <c r="K15" s="42">
        <f>COUNTIF(课题立项结题!$C$4:$C$6,"军事体育教学部")</f>
        <v>0</v>
      </c>
      <c r="L15" s="42">
        <f>COUNTIF(课题立项结题!$C$4:$C$6,"科技处")</f>
        <v>0</v>
      </c>
      <c r="M15" s="42">
        <f>COUNTIF(课题立项结题!$C$4:$C$6,"督导处")</f>
        <v>0</v>
      </c>
      <c r="N15" s="42">
        <f>COUNTIF(课题立项结题!$C$4:$C$6,"教务处")</f>
        <v>0</v>
      </c>
      <c r="O15" s="42">
        <f>COUNTIF(课题立项结题!$C$4:$C$6,"学工处")</f>
        <v>0</v>
      </c>
      <c r="P15" s="42">
        <f>COUNTIF(课题立项结题!$C$4:$C$6,"示范办")</f>
        <v>0</v>
      </c>
      <c r="Q15" s="42">
        <f>COUNTIF(课题立项结题!$C$4:$C$6,"实验中心")</f>
        <v>0</v>
      </c>
      <c r="R15" s="42">
        <f>COUNTIF(课题立项结题!$C$4:$C$6,"组织部")</f>
        <v>0</v>
      </c>
      <c r="S15" s="42">
        <f>COUNTIF(课题立项结题!$C$4:$C$6,"宣传部")</f>
        <v>0</v>
      </c>
      <c r="T15" s="42">
        <f>COUNTIF(课题立项结题!$C$4:$C$6,"院办")</f>
        <v>0</v>
      </c>
      <c r="U15" s="42">
        <f>COUNTIF(课题立项结题!$C$4:$C$6,"人事处")</f>
        <v>0</v>
      </c>
      <c r="V15" s="42">
        <f>COUNTIF(课题立项结题!$C$4:$C$6,"招生就业处")</f>
        <v>0</v>
      </c>
      <c r="W15" s="42">
        <f>COUNTIF(课题立项结题!$C$4:$C$6,"总务处")</f>
        <v>0</v>
      </c>
      <c r="X15" s="42">
        <f>COUNTIF(课题立项结题!$C$4:$C$6,"保卫处")</f>
        <v>0</v>
      </c>
      <c r="Y15" s="42">
        <f>COUNTIF(课题立项结题!$C$4:$C$6,"图书馆")</f>
        <v>0</v>
      </c>
      <c r="Z15" s="42">
        <f>COUNTIF(课题立项结题!$C$4:$C$6,"职业技能鉴定培训中心")</f>
        <v>0</v>
      </c>
      <c r="AA15" s="42">
        <f>COUNTIF(课题立项结题!$C$4:$C$6,"资产管理科")</f>
        <v>0</v>
      </c>
      <c r="AB15" s="42">
        <f>COUNTIF(课题立项结题!$C$4:$C$6,"工会")</f>
        <v>0</v>
      </c>
      <c r="AC15" s="42">
        <f>COUNTIF(课题立项结题!C5:C789,"财务处")</f>
        <v>0</v>
      </c>
      <c r="AD15" s="42">
        <f>COUNTIF(课题立项结题!$C$4:$C$6,"技师学院")</f>
        <v>0</v>
      </c>
      <c r="AE15" s="42">
        <f>COUNTIF(课题立项结题!$C$4:$C$6,"学院领导")</f>
        <v>0</v>
      </c>
      <c r="AF15" s="42">
        <f t="shared" si="0"/>
        <v>0</v>
      </c>
    </row>
    <row r="16" ht="24.95" customHeight="1" spans="1:32">
      <c r="A16" s="40" t="s">
        <v>329</v>
      </c>
      <c r="B16" s="42">
        <f>SUMPRODUCT((课题立项结题!C3:C14="农学院")*(课题立项结题!L3:L14="2014"))</f>
        <v>0</v>
      </c>
      <c r="C16" s="42">
        <f>SUMPRODUCT((课题立项结题!C3:C14="建筑工程学院")*(课题立项结题!L3:L14="2014"))</f>
        <v>0</v>
      </c>
      <c r="D16" s="42">
        <f>SUMPRODUCT((课题立项结题!C3:C14="信息工程学院")*(课题立项结题!L3:L14="2014"))</f>
        <v>0</v>
      </c>
      <c r="E16" s="42">
        <f>SUMPRODUCT((课题立项结题!C3:C14="生物工程学院")*(课题立项结题!L3:L14="2014"))</f>
        <v>0</v>
      </c>
      <c r="F16" s="42">
        <f>SUMPRODUCT((课题立项结题!C3:C14="动物科技学院")*(课题立项结题!L3:L14="2014"))</f>
        <v>0</v>
      </c>
      <c r="G16" s="42">
        <f>SUMPRODUCT((课题立项结题!C3:C14="机电工程学院")*(课题立项结题!L3:L14="2014"))</f>
        <v>0</v>
      </c>
      <c r="H16" s="42">
        <f>SUMPRODUCT((课题立项结题!C3:C14="经贸学院")*(课题立项结题!L3:L14="2014"))</f>
        <v>0</v>
      </c>
      <c r="I16" s="42">
        <f>SUMPRODUCT((课题立项结题!C3:C14="外国语学院")*(课题立项结题!L3:L14="2014"))</f>
        <v>0</v>
      </c>
      <c r="J16" s="42">
        <f>SUMPRODUCT((课题立项结题!C3:C14="马克思主义理论课教学部")*(课题立项结题!L3:L14="2014"))</f>
        <v>0</v>
      </c>
      <c r="K16" s="42">
        <f>SUMPRODUCT((课题立项结题!C3:C14="军事体育教学部")*(课题立项结题!L3:L14="2014"))</f>
        <v>0</v>
      </c>
      <c r="L16" s="42">
        <f>SUMPRODUCT((课题立项结题!C3:C14="科技处")*(课题立项结题!L3:L14="2014"))</f>
        <v>0</v>
      </c>
      <c r="M16" s="42">
        <f>SUMPRODUCT((课题立项结题!C3:C14="督导处")*(课题立项结题!L3:L14="2014"))</f>
        <v>0</v>
      </c>
      <c r="N16" s="42">
        <f>SUMPRODUCT((课题立项结题!C3:C14="教务处")*(课题立项结题!L3:L14="2014"))</f>
        <v>0</v>
      </c>
      <c r="O16" s="42">
        <f>SUMPRODUCT((课题立项结题!C3:C14="学工处")*(课题立项结题!L3:L14="2014"))</f>
        <v>0</v>
      </c>
      <c r="P16" s="42">
        <f>SUMPRODUCT((课题立项结题!C3:C14="示范办")*(课题立项结题!L3:L14="2014"))</f>
        <v>0</v>
      </c>
      <c r="Q16" s="42">
        <f>SUMPRODUCT((课题立项结题!C3:C14="实验中心")*(课题立项结题!L3:L14="2014"))</f>
        <v>0</v>
      </c>
      <c r="R16" s="42">
        <f>SUMPRODUCT((课题立项结题!C3:C14="组织部")*(课题立项结题!L3:L14="2014"))</f>
        <v>0</v>
      </c>
      <c r="S16" s="42">
        <f>SUMPRODUCT((课题立项结题!C3:C14="宣传部")*(课题立项结题!L3:L14="2014"))</f>
        <v>0</v>
      </c>
      <c r="T16" s="42">
        <f>SUMPRODUCT((课题立项结题!C3:C14="院办")*(课题立项结题!L3:L14="2014"))</f>
        <v>0</v>
      </c>
      <c r="U16" s="42">
        <f>SUMPRODUCT((课题立项结题!C3:C14="人事处")*(课题立项结题!L3:L14="2014"))</f>
        <v>0</v>
      </c>
      <c r="V16" s="42">
        <f>SUMPRODUCT((课题立项结题!C3:C14="招生就业处")*(课题立项结题!L3:L14="2014"))</f>
        <v>0</v>
      </c>
      <c r="W16" s="42">
        <f>SUMPRODUCT((课题立项结题!C3:C14="总务处")*(课题立项结题!L3:L14="2014"))</f>
        <v>0</v>
      </c>
      <c r="X16" s="42">
        <f>SUMPRODUCT((课题立项结题!C3:C14="保卫处")*(课题立项结题!L3:L14="2014"))</f>
        <v>0</v>
      </c>
      <c r="Y16" s="42">
        <f>SUMPRODUCT((课题立项结题!C3:C14="图书馆")*(课题立项结题!L3:L14="2014"))</f>
        <v>0</v>
      </c>
      <c r="Z16" s="42">
        <f>SUMPRODUCT((课题立项结题!C3:C14="职业技能鉴定培训中心")*(课题立项结题!L3:L14="2014"))</f>
        <v>0</v>
      </c>
      <c r="AA16" s="42">
        <f>SUMPRODUCT((课题立项结题!C3:C14="资产管理科")*(课题立项结题!L3:L14="2014"))</f>
        <v>0</v>
      </c>
      <c r="AB16" s="42">
        <f>SUMPRODUCT((课题立项结题!C3:C14="工会")*(课题立项结题!L3:L14="2014"))</f>
        <v>0</v>
      </c>
      <c r="AC16" s="42">
        <f>SUMPRODUCT((课题立项结题!C3:C14="财务处")*(课题立项结题!L3:L14="2014"))</f>
        <v>0</v>
      </c>
      <c r="AD16" s="42">
        <f>SUMPRODUCT((课题立项结题!C3:C14="技师学院")*(课题立项结题!L3:L14="2014"))</f>
        <v>0</v>
      </c>
      <c r="AE16" s="42">
        <f>SUMPRODUCT((课题立项结题!C3:C14="学院领导")*(课题立项结题!L3:L14="2014"))</f>
        <v>0</v>
      </c>
      <c r="AF16" s="42">
        <f t="shared" si="0"/>
        <v>0</v>
      </c>
    </row>
    <row r="17" ht="24.95" customHeight="1" spans="1:32">
      <c r="A17" s="40" t="s">
        <v>330</v>
      </c>
      <c r="B17" s="42">
        <f>SUMPRODUCT((课题立项结题!C4:C15="农学院")*(课题立项结题!K4:K15="2014"))</f>
        <v>0</v>
      </c>
      <c r="C17" s="42">
        <f>SUMPRODUCT((课题立项结题!C4:C15="建筑工程学院")*(课题立项结题!K4:K15="2014"))</f>
        <v>0</v>
      </c>
      <c r="D17" s="42">
        <f>SUMPRODUCT((课题立项结题!C4:C15="信息工程学院")*(课题立项结题!K4:K15="2014"))</f>
        <v>0</v>
      </c>
      <c r="E17" s="42">
        <f>SUMPRODUCT((课题立项结题!C4:C15="生物工程学院")*(课题立项结题!K4:K15="2014"))</f>
        <v>0</v>
      </c>
      <c r="F17" s="42">
        <f>SUMPRODUCT((课题立项结题!C4:C15="动物科技学院")*(课题立项结题!K4:K15="2014"))</f>
        <v>0</v>
      </c>
      <c r="G17" s="42">
        <f>SUMPRODUCT((课题立项结题!C4:C15="机电工程学院")*(课题立项结题!K4:K15="2014"))</f>
        <v>0</v>
      </c>
      <c r="H17" s="42">
        <f>SUMPRODUCT((课题立项结题!C4:C15="经贸学院")*(课题立项结题!K4:K15="2014"))</f>
        <v>0</v>
      </c>
      <c r="I17" s="42">
        <f>SUMPRODUCT((课题立项结题!C4:C15="外国语学院")*(课题立项结题!K4:K15="2014"))</f>
        <v>0</v>
      </c>
      <c r="J17" s="42">
        <f>SUMPRODUCT((课题立项结题!C4:C15="马克思主义理论课教学部")*(课题立项结题!K4:K15="2014"))</f>
        <v>0</v>
      </c>
      <c r="K17" s="42">
        <f>SUMPRODUCT((课题立项结题!C4:C15="军事体育教学部")*(课题立项结题!K4:K15="2014"))</f>
        <v>0</v>
      </c>
      <c r="L17" s="42">
        <f>SUMPRODUCT((课题立项结题!C4:C15="科技处")*(课题立项结题!K4:K15="2014"))</f>
        <v>0</v>
      </c>
      <c r="M17" s="42">
        <f>SUMPRODUCT((课题立项结题!C4:C15="督导处")*(课题立项结题!K4:K15="2014"))</f>
        <v>0</v>
      </c>
      <c r="N17" s="42">
        <f>SUMPRODUCT((课题立项结题!C4:C15="教务处")*(课题立项结题!K4:K15="2014"))</f>
        <v>0</v>
      </c>
      <c r="O17" s="42">
        <f>SUMPRODUCT((课题立项结题!C4:C15="学工处")*(课题立项结题!K4:K15="2014"))</f>
        <v>0</v>
      </c>
      <c r="P17" s="42">
        <f>SUMPRODUCT((课题立项结题!C4:C15="示范办")*(课题立项结题!K4:K15="2014"))</f>
        <v>0</v>
      </c>
      <c r="Q17" s="42">
        <f>SUMPRODUCT((课题立项结题!C4:C15="实验中心")*(课题立项结题!K4:K15="2014"))</f>
        <v>0</v>
      </c>
      <c r="R17" s="42">
        <f>SUMPRODUCT((课题立项结题!C4:C15="组织部")*(课题立项结题!K4:K15="2014"))</f>
        <v>0</v>
      </c>
      <c r="S17" s="42">
        <f>SUMPRODUCT((课题立项结题!C4:C15="宣传部")*(课题立项结题!K4:K15="2014"))</f>
        <v>0</v>
      </c>
      <c r="T17" s="42">
        <f>SUMPRODUCT((课题立项结题!C4:C15="院办")*(课题立项结题!K4:K15="2014"))</f>
        <v>0</v>
      </c>
      <c r="U17" s="42">
        <f>SUMPRODUCT((课题立项结题!C4:C15="人事处")*(课题立项结题!K4:K15="2014"))</f>
        <v>0</v>
      </c>
      <c r="V17" s="42">
        <f>SUMPRODUCT((课题立项结题!C4:C15="招生就业处")*(课题立项结题!K4:K15="2014"))</f>
        <v>0</v>
      </c>
      <c r="W17" s="42">
        <f>SUMPRODUCT((课题立项结题!C4:C15="总务处")*(课题立项结题!K4:K15="2014"))</f>
        <v>0</v>
      </c>
      <c r="X17" s="42">
        <f>SUMPRODUCT((课题立项结题!C4:C15="保卫处")*(课题立项结题!K4:K15="2014"))</f>
        <v>0</v>
      </c>
      <c r="Y17" s="42">
        <f>SUMPRODUCT((课题立项结题!C4:C15="图书馆")*(课题立项结题!K4:K15="2014"))</f>
        <v>0</v>
      </c>
      <c r="Z17" s="42">
        <f>SUMPRODUCT((课题立项结题!C4:C15="职业技能鉴定培训中心")*(课题立项结题!K4:K15="2014"))</f>
        <v>0</v>
      </c>
      <c r="AA17" s="42">
        <f>SUMPRODUCT((课题立项结题!C4:C15="资产管理科")*(课题立项结题!K4:K15="2014"))</f>
        <v>0</v>
      </c>
      <c r="AB17" s="42">
        <f>SUMPRODUCT((课题立项结题!C4:C15="工会")*(课题立项结题!K4:K15="2014"))</f>
        <v>0</v>
      </c>
      <c r="AC17" s="42">
        <f>SUMPRODUCT((课题立项结题!C4:C15="财务处")*(课题立项结题!K4:K15="2014"))</f>
        <v>0</v>
      </c>
      <c r="AD17" s="42">
        <f>SUMPRODUCT((课题立项结题!C4:C15="技师学院")*(课题立项结题!K4:K15="2014"))</f>
        <v>0</v>
      </c>
      <c r="AE17" s="42">
        <f>SUMPRODUCT((课题立项结题!C4:C15="学院领导")*(课题立项结题!K4:K15="2014"))</f>
        <v>0</v>
      </c>
      <c r="AF17" s="42">
        <f t="shared" si="0"/>
        <v>0</v>
      </c>
    </row>
  </sheetData>
  <sheetProtection password="CF2E" sheet="1"/>
  <mergeCells count="1">
    <mergeCell ref="A1:AF1"/>
  </mergeCells>
  <conditionalFormatting sqref="B3:AF17">
    <cfRule type="cellIs" dxfId="0" priority="1" stopIfTrue="1" operator="greaterThanOrEqual">
      <formula>1</formula>
    </cfRule>
    <cfRule type="cellIs" dxfId="1" priority="2" stopIfTrue="1" operator="equal">
      <formula>0</formula>
    </cfRule>
  </conditionalFormatting>
  <pageMargins left="0.666666666666667" right="0.159027777777778" top="0.984027777777778" bottom="0.984027777777778" header="0.510416666666667" footer="0.510416666666667"/>
  <pageSetup paperSize="9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workbookViewId="0">
      <selection activeCell="G21" sqref="G21"/>
    </sheetView>
  </sheetViews>
  <sheetFormatPr defaultColWidth="9" defaultRowHeight="14.25"/>
  <cols>
    <col min="1" max="1" width="15.125" customWidth="1"/>
    <col min="2" max="2" width="22.5" customWidth="1"/>
    <col min="3" max="3" width="18" customWidth="1"/>
    <col min="4" max="4" width="23.25" customWidth="1"/>
    <col min="5" max="5" width="25.375" customWidth="1"/>
    <col min="6" max="6" width="21.75" customWidth="1"/>
    <col min="7" max="7" width="19.875" customWidth="1"/>
    <col min="9" max="9" width="13.75" customWidth="1"/>
  </cols>
  <sheetData>
    <row r="1" ht="30" customHeight="1" spans="1:7">
      <c r="A1" s="8" t="s">
        <v>331</v>
      </c>
      <c r="B1" s="9" t="s">
        <v>332</v>
      </c>
      <c r="C1" s="9" t="s">
        <v>333</v>
      </c>
      <c r="D1" s="9" t="s">
        <v>334</v>
      </c>
      <c r="E1" s="9" t="s">
        <v>335</v>
      </c>
      <c r="F1" s="10" t="s">
        <v>336</v>
      </c>
      <c r="G1" s="10" t="s">
        <v>337</v>
      </c>
    </row>
    <row r="2" ht="30" customHeight="1" spans="1:7">
      <c r="A2" s="8"/>
      <c r="B2" s="11">
        <f>COUNTIF(著作!D5:D327,"第一主编")</f>
        <v>0</v>
      </c>
      <c r="C2" s="11">
        <f>COUNTA(著作!D5:D327)</f>
        <v>26</v>
      </c>
      <c r="D2" s="11">
        <f>COUNTA(著作!D5:D327)</f>
        <v>26</v>
      </c>
      <c r="E2" s="11">
        <f>COUNTIF(著作!D5:D327,"主审")</f>
        <v>0</v>
      </c>
      <c r="F2" s="10">
        <f>COUNTIF(论文!D5:D452,"第一作者")</f>
        <v>2</v>
      </c>
      <c r="G2" s="10">
        <f>COUNTA(论文!D5:D452)</f>
        <v>2</v>
      </c>
    </row>
    <row r="3" ht="30" customHeight="1" spans="1:9">
      <c r="A3" s="8" t="s">
        <v>338</v>
      </c>
      <c r="B3" s="12" t="s">
        <v>339</v>
      </c>
      <c r="C3" s="12" t="s">
        <v>340</v>
      </c>
      <c r="D3" s="12" t="s">
        <v>341</v>
      </c>
      <c r="E3" s="13" t="s">
        <v>342</v>
      </c>
      <c r="F3" s="13" t="s">
        <v>343</v>
      </c>
      <c r="G3" s="13" t="s">
        <v>344</v>
      </c>
      <c r="H3" s="14"/>
      <c r="I3" s="14"/>
    </row>
    <row r="4" ht="47.25" customHeight="1" spans="1:9">
      <c r="A4" s="8"/>
      <c r="B4" s="15" t="s">
        <v>345</v>
      </c>
      <c r="C4" s="12"/>
      <c r="D4" s="12"/>
      <c r="E4" s="16"/>
      <c r="F4" s="13"/>
      <c r="G4" s="13"/>
      <c r="H4" s="17"/>
      <c r="I4" s="17"/>
    </row>
    <row r="5" ht="48.75" customHeight="1" spans="1:7">
      <c r="A5" s="8"/>
      <c r="B5" s="18" t="s">
        <v>346</v>
      </c>
      <c r="C5" s="12"/>
      <c r="D5" s="12"/>
      <c r="E5" s="16"/>
      <c r="F5" s="13"/>
      <c r="G5" s="13"/>
    </row>
    <row r="6" ht="30" customHeight="1" spans="1:7">
      <c r="A6" s="8"/>
      <c r="B6" s="15" t="s">
        <v>347</v>
      </c>
      <c r="C6" s="12"/>
      <c r="D6" s="12"/>
      <c r="E6" s="16"/>
      <c r="F6" s="13"/>
      <c r="G6" s="13"/>
    </row>
    <row r="7" ht="30" customHeight="1" spans="1:7">
      <c r="A7" s="8"/>
      <c r="B7" s="15" t="s">
        <v>348</v>
      </c>
      <c r="C7" s="12"/>
      <c r="D7" s="12"/>
      <c r="E7" s="19"/>
      <c r="F7" s="13"/>
      <c r="G7" s="13"/>
    </row>
    <row r="8" ht="48.75" customHeight="1" spans="1:7">
      <c r="A8" s="8"/>
      <c r="B8" s="20" t="s">
        <v>349</v>
      </c>
      <c r="C8" s="12"/>
      <c r="D8" s="12"/>
      <c r="E8" s="19"/>
      <c r="F8" s="13"/>
      <c r="G8" s="13"/>
    </row>
    <row r="9" ht="30" customHeight="1" spans="1:7">
      <c r="A9" s="8"/>
      <c r="B9" s="20" t="s">
        <v>350</v>
      </c>
      <c r="C9" s="12"/>
      <c r="D9" s="12"/>
      <c r="E9" s="19"/>
      <c r="F9" s="13"/>
      <c r="G9" s="13"/>
    </row>
    <row r="10" ht="30" customHeight="1" spans="1:7">
      <c r="A10" s="8"/>
      <c r="B10" s="15" t="s">
        <v>351</v>
      </c>
      <c r="C10" s="12"/>
      <c r="D10" s="12"/>
      <c r="E10" s="13"/>
      <c r="F10" s="13"/>
      <c r="G10" s="13"/>
    </row>
    <row r="11" ht="30" customHeight="1" spans="1:7">
      <c r="A11" s="8"/>
      <c r="B11" s="15" t="s">
        <v>352</v>
      </c>
      <c r="C11" s="12"/>
      <c r="D11" s="12"/>
      <c r="E11" s="13"/>
      <c r="F11" s="13"/>
      <c r="G11" s="13"/>
    </row>
    <row r="12" ht="34.5" customHeight="1" spans="1:7">
      <c r="A12" s="8"/>
      <c r="B12" s="21" t="s">
        <v>317</v>
      </c>
      <c r="C12" s="12"/>
      <c r="D12" s="12"/>
      <c r="E12" s="16" t="s">
        <v>317</v>
      </c>
      <c r="F12" s="13"/>
      <c r="G12" s="13"/>
    </row>
    <row r="13" ht="30" customHeight="1" spans="1:10">
      <c r="A13" s="8" t="s">
        <v>353</v>
      </c>
      <c r="B13" s="22" t="s">
        <v>354</v>
      </c>
      <c r="C13" s="22" t="s">
        <v>355</v>
      </c>
      <c r="D13" s="23" t="s">
        <v>356</v>
      </c>
      <c r="E13" s="24" t="s">
        <v>357</v>
      </c>
      <c r="F13" s="24" t="s">
        <v>358</v>
      </c>
      <c r="G13" s="25" t="s">
        <v>359</v>
      </c>
      <c r="H13" s="26"/>
      <c r="I13" s="36"/>
      <c r="J13" s="37"/>
    </row>
    <row r="14" ht="30" customHeight="1" spans="1:10">
      <c r="A14" s="8"/>
      <c r="B14" s="22"/>
      <c r="C14" s="22"/>
      <c r="D14" s="22"/>
      <c r="E14" s="24"/>
      <c r="F14" s="24"/>
      <c r="G14" s="24"/>
      <c r="H14" s="17"/>
      <c r="I14" s="17"/>
      <c r="J14" s="37"/>
    </row>
    <row r="15" ht="30" customHeight="1" spans="1:7">
      <c r="A15" s="8"/>
      <c r="B15" s="22"/>
      <c r="C15" s="22"/>
      <c r="D15" s="22"/>
      <c r="E15" s="24"/>
      <c r="F15" s="24"/>
      <c r="G15" s="24"/>
    </row>
    <row r="16" ht="30" customHeight="1" spans="1:7">
      <c r="A16" s="8"/>
      <c r="B16" s="22"/>
      <c r="C16" s="22"/>
      <c r="D16" s="22"/>
      <c r="E16" s="24"/>
      <c r="F16" s="24"/>
      <c r="G16" s="24"/>
    </row>
    <row r="17" ht="30" customHeight="1" spans="1:7">
      <c r="A17" s="8"/>
      <c r="B17" s="27"/>
      <c r="C17" s="27"/>
      <c r="D17" s="27"/>
      <c r="E17" s="28"/>
      <c r="F17" s="28"/>
      <c r="G17" s="28"/>
    </row>
    <row r="18" ht="30" customHeight="1" spans="1:7">
      <c r="A18" s="8" t="s">
        <v>360</v>
      </c>
      <c r="B18" s="10" t="s">
        <v>361</v>
      </c>
      <c r="C18" s="29" t="s">
        <v>362</v>
      </c>
      <c r="D18" s="29" t="s">
        <v>363</v>
      </c>
      <c r="E18" s="10" t="s">
        <v>361</v>
      </c>
      <c r="F18" s="29" t="s">
        <v>362</v>
      </c>
      <c r="G18" s="29" t="s">
        <v>363</v>
      </c>
    </row>
    <row r="19" ht="30" customHeight="1" spans="1:7">
      <c r="A19" s="8"/>
      <c r="B19" s="10"/>
      <c r="C19" s="10"/>
      <c r="D19" s="10"/>
      <c r="E19" s="10"/>
      <c r="F19" s="10"/>
      <c r="G19" s="10"/>
    </row>
    <row r="20" ht="30" customHeight="1" spans="1:7">
      <c r="A20" s="30" t="s">
        <v>364</v>
      </c>
      <c r="B20" s="31" t="s">
        <v>365</v>
      </c>
      <c r="C20" s="31" t="s">
        <v>366</v>
      </c>
      <c r="D20" s="31" t="s">
        <v>367</v>
      </c>
      <c r="E20" s="31" t="s">
        <v>368</v>
      </c>
      <c r="F20" s="31" t="s">
        <v>369</v>
      </c>
      <c r="G20" s="31" t="s">
        <v>367</v>
      </c>
    </row>
    <row r="21" ht="30" customHeight="1" spans="1:7">
      <c r="A21" s="32"/>
      <c r="B21" s="33"/>
      <c r="C21" s="33"/>
      <c r="D21" s="33"/>
      <c r="E21" s="34"/>
      <c r="F21" s="35"/>
      <c r="G21" s="35"/>
    </row>
  </sheetData>
  <mergeCells count="5">
    <mergeCell ref="A1:A2"/>
    <mergeCell ref="A3:A12"/>
    <mergeCell ref="A13:A17"/>
    <mergeCell ref="A18:A19"/>
    <mergeCell ref="A20:A21"/>
  </mergeCells>
  <pageMargins left="0.75" right="0.75" top="1" bottom="1" header="0.5" footer="0.5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31"/>
  <sheetViews>
    <sheetView workbookViewId="0">
      <selection activeCell="J26" sqref="J26"/>
    </sheetView>
  </sheetViews>
  <sheetFormatPr defaultColWidth="9" defaultRowHeight="14.25"/>
  <cols>
    <col min="1" max="1" width="28.125" customWidth="1"/>
  </cols>
  <sheetData>
    <row r="1" spans="1:1">
      <c r="A1" s="1" t="s">
        <v>178</v>
      </c>
    </row>
    <row r="2" spans="1:1">
      <c r="A2" s="2" t="s">
        <v>289</v>
      </c>
    </row>
    <row r="3" spans="1:1">
      <c r="A3" s="2" t="s">
        <v>370</v>
      </c>
    </row>
    <row r="4" spans="1:18">
      <c r="A4" s="2" t="s">
        <v>371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>
      <c r="A5" s="2" t="s">
        <v>372</v>
      </c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7"/>
      <c r="O5" s="4"/>
      <c r="P5" s="4"/>
      <c r="Q5" s="7"/>
      <c r="R5" s="7"/>
    </row>
    <row r="6" spans="1:1">
      <c r="A6" s="2" t="s">
        <v>14</v>
      </c>
    </row>
    <row r="7" spans="1:1">
      <c r="A7" s="2" t="s">
        <v>20</v>
      </c>
    </row>
    <row r="8" spans="1:1">
      <c r="A8" s="2" t="s">
        <v>373</v>
      </c>
    </row>
    <row r="9" spans="1:1">
      <c r="A9" s="2" t="s">
        <v>230</v>
      </c>
    </row>
    <row r="10" spans="1:1">
      <c r="A10" s="2" t="s">
        <v>374</v>
      </c>
    </row>
    <row r="11" spans="1:1">
      <c r="A11" s="2" t="s">
        <v>298</v>
      </c>
    </row>
    <row r="12" spans="1:1">
      <c r="A12" s="5" t="s">
        <v>375</v>
      </c>
    </row>
    <row r="13" spans="1:1">
      <c r="A13" s="2" t="s">
        <v>303</v>
      </c>
    </row>
    <row r="14" spans="1:1">
      <c r="A14" s="2" t="s">
        <v>304</v>
      </c>
    </row>
    <row r="15" spans="1:1">
      <c r="A15" s="2" t="s">
        <v>305</v>
      </c>
    </row>
    <row r="16" spans="1:1">
      <c r="A16" s="2" t="s">
        <v>306</v>
      </c>
    </row>
    <row r="17" spans="1:1">
      <c r="A17" s="2" t="s">
        <v>307</v>
      </c>
    </row>
    <row r="18" spans="1:1">
      <c r="A18" s="2" t="s">
        <v>308</v>
      </c>
    </row>
    <row r="19" spans="1:1">
      <c r="A19" s="2" t="s">
        <v>300</v>
      </c>
    </row>
    <row r="20" spans="1:1">
      <c r="A20" s="2" t="s">
        <v>309</v>
      </c>
    </row>
    <row r="21" spans="1:1">
      <c r="A21" s="2" t="s">
        <v>299</v>
      </c>
    </row>
    <row r="22" spans="1:1">
      <c r="A22" s="2" t="s">
        <v>259</v>
      </c>
    </row>
    <row r="23" spans="1:1">
      <c r="A23" s="2" t="s">
        <v>40</v>
      </c>
    </row>
    <row r="24" spans="1:1">
      <c r="A24" s="2" t="s">
        <v>301</v>
      </c>
    </row>
    <row r="25" spans="1:1">
      <c r="A25" s="2" t="s">
        <v>302</v>
      </c>
    </row>
    <row r="26" spans="1:1">
      <c r="A26" s="2" t="s">
        <v>310</v>
      </c>
    </row>
    <row r="27" spans="1:1">
      <c r="A27" s="2" t="s">
        <v>311</v>
      </c>
    </row>
    <row r="28" spans="1:1">
      <c r="A28" s="2" t="s">
        <v>312</v>
      </c>
    </row>
    <row r="29" spans="1:1">
      <c r="A29" s="2" t="s">
        <v>313</v>
      </c>
    </row>
    <row r="30" spans="1:1">
      <c r="A30" s="6" t="s">
        <v>316</v>
      </c>
    </row>
    <row r="31" spans="1:1">
      <c r="A31" t="s">
        <v>314</v>
      </c>
    </row>
  </sheetData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2"/>
  <sheetViews>
    <sheetView tabSelected="1" zoomScale="76" zoomScaleNormal="76" workbookViewId="0">
      <selection activeCell="B19" sqref="B19:C21"/>
    </sheetView>
  </sheetViews>
  <sheetFormatPr defaultColWidth="9" defaultRowHeight="14.25"/>
  <cols>
    <col min="1" max="1" width="6.875" style="138" customWidth="1"/>
    <col min="2" max="2" width="9" style="138"/>
    <col min="3" max="3" width="18.125" style="138" customWidth="1"/>
    <col min="4" max="4" width="13.375" style="138" customWidth="1"/>
    <col min="5" max="5" width="8.375" style="138" customWidth="1"/>
    <col min="6" max="6" width="24" style="138" customWidth="1"/>
    <col min="7" max="8" width="22.875" style="138" customWidth="1"/>
    <col min="9" max="9" width="23.75" style="138" customWidth="1"/>
    <col min="10" max="10" width="12.75" style="138" customWidth="1"/>
    <col min="11" max="11" width="15.375" style="138" customWidth="1"/>
    <col min="12" max="16384" width="9" style="139"/>
  </cols>
  <sheetData>
    <row r="1" ht="50.25" customHeight="1" spans="1:11">
      <c r="A1" s="140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66.75" customHeight="1" spans="1:11">
      <c r="A2" s="141" t="s">
        <v>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ht="121.5" customHeight="1" spans="1:11">
      <c r="A3" s="143" t="s">
        <v>2</v>
      </c>
      <c r="B3" s="143" t="s">
        <v>3</v>
      </c>
      <c r="C3" s="143" t="s">
        <v>4</v>
      </c>
      <c r="D3" s="44" t="s">
        <v>32</v>
      </c>
      <c r="E3" s="144" t="s">
        <v>33</v>
      </c>
      <c r="F3" s="143" t="s">
        <v>34</v>
      </c>
      <c r="G3" s="143" t="s">
        <v>35</v>
      </c>
      <c r="H3" s="143" t="s">
        <v>36</v>
      </c>
      <c r="I3" s="143" t="s">
        <v>37</v>
      </c>
      <c r="J3" s="143" t="s">
        <v>38</v>
      </c>
      <c r="K3" s="143" t="s">
        <v>39</v>
      </c>
    </row>
    <row r="4" s="137" customFormat="1" ht="25.5" customHeight="1" spans="1:11">
      <c r="A4" s="145" t="s">
        <v>12</v>
      </c>
      <c r="B4" s="145" t="s">
        <v>13</v>
      </c>
      <c r="C4" s="145" t="s">
        <v>40</v>
      </c>
      <c r="D4" s="145" t="s">
        <v>41</v>
      </c>
      <c r="E4" s="146">
        <v>1</v>
      </c>
      <c r="F4" s="145" t="s">
        <v>42</v>
      </c>
      <c r="G4" s="147" t="s">
        <v>43</v>
      </c>
      <c r="H4" s="147" t="s">
        <v>44</v>
      </c>
      <c r="I4" s="147" t="s">
        <v>45</v>
      </c>
      <c r="J4" s="147" t="s">
        <v>46</v>
      </c>
      <c r="K4" s="147" t="s">
        <v>47</v>
      </c>
    </row>
    <row r="5" s="137" customFormat="1" ht="30" customHeight="1" spans="1:11">
      <c r="A5" s="148" t="s">
        <v>48</v>
      </c>
      <c r="B5" s="62" t="s">
        <v>49</v>
      </c>
      <c r="C5" s="62" t="s">
        <v>20</v>
      </c>
      <c r="D5" s="62" t="s">
        <v>50</v>
      </c>
      <c r="E5" s="62" t="s">
        <v>51</v>
      </c>
      <c r="F5" s="62" t="s">
        <v>52</v>
      </c>
      <c r="G5" s="62" t="s">
        <v>53</v>
      </c>
      <c r="H5" s="62" t="s">
        <v>54</v>
      </c>
      <c r="I5" s="157" t="s">
        <v>55</v>
      </c>
      <c r="J5" s="114" t="s">
        <v>56</v>
      </c>
      <c r="K5" s="62" t="s">
        <v>57</v>
      </c>
    </row>
    <row r="6" s="137" customFormat="1" ht="30" customHeight="1" spans="1:11">
      <c r="A6" s="148" t="s">
        <v>58</v>
      </c>
      <c r="B6" s="62" t="s">
        <v>49</v>
      </c>
      <c r="C6" s="62" t="s">
        <v>20</v>
      </c>
      <c r="D6" s="62" t="s">
        <v>50</v>
      </c>
      <c r="E6" s="62" t="s">
        <v>58</v>
      </c>
      <c r="F6" s="62" t="s">
        <v>59</v>
      </c>
      <c r="G6" s="62" t="s">
        <v>60</v>
      </c>
      <c r="H6" s="62" t="s">
        <v>61</v>
      </c>
      <c r="I6" s="157" t="s">
        <v>62</v>
      </c>
      <c r="J6" s="114" t="s">
        <v>56</v>
      </c>
      <c r="K6" s="62" t="s">
        <v>63</v>
      </c>
    </row>
    <row r="7" s="137" customFormat="1" ht="30" customHeight="1" spans="1:11">
      <c r="A7" s="148" t="s">
        <v>51</v>
      </c>
      <c r="B7" s="62" t="s">
        <v>64</v>
      </c>
      <c r="C7" s="62" t="s">
        <v>20</v>
      </c>
      <c r="D7" s="62" t="s">
        <v>65</v>
      </c>
      <c r="E7" s="62" t="s">
        <v>66</v>
      </c>
      <c r="F7" s="62" t="s">
        <v>67</v>
      </c>
      <c r="G7" s="62" t="s">
        <v>60</v>
      </c>
      <c r="H7" s="62" t="s">
        <v>68</v>
      </c>
      <c r="I7" s="62" t="s">
        <v>69</v>
      </c>
      <c r="J7" s="151" t="s">
        <v>70</v>
      </c>
      <c r="K7" s="62" t="s">
        <v>71</v>
      </c>
    </row>
    <row r="8" s="137" customFormat="1" ht="30" customHeight="1" spans="1:11">
      <c r="A8" s="148" t="s">
        <v>66</v>
      </c>
      <c r="B8" s="62" t="s">
        <v>72</v>
      </c>
      <c r="C8" s="92" t="s">
        <v>20</v>
      </c>
      <c r="D8" s="62" t="s">
        <v>65</v>
      </c>
      <c r="E8" s="62" t="s">
        <v>73</v>
      </c>
      <c r="F8" s="92" t="s">
        <v>74</v>
      </c>
      <c r="G8" s="92" t="s">
        <v>75</v>
      </c>
      <c r="H8" s="62"/>
      <c r="I8" s="92" t="s">
        <v>76</v>
      </c>
      <c r="J8" s="158" t="s">
        <v>77</v>
      </c>
      <c r="K8" s="92" t="s">
        <v>78</v>
      </c>
    </row>
    <row r="9" s="137" customFormat="1" ht="30" customHeight="1" spans="1:11">
      <c r="A9" s="148" t="s">
        <v>73</v>
      </c>
      <c r="B9" s="62" t="s">
        <v>72</v>
      </c>
      <c r="C9" s="62" t="s">
        <v>20</v>
      </c>
      <c r="D9" s="62" t="s">
        <v>65</v>
      </c>
      <c r="E9" s="92" t="s">
        <v>51</v>
      </c>
      <c r="F9" s="92" t="s">
        <v>79</v>
      </c>
      <c r="G9" s="92" t="s">
        <v>75</v>
      </c>
      <c r="H9" s="115" t="s">
        <v>80</v>
      </c>
      <c r="I9" s="92" t="s">
        <v>81</v>
      </c>
      <c r="J9" s="158" t="s">
        <v>77</v>
      </c>
      <c r="K9" s="92" t="s">
        <v>78</v>
      </c>
    </row>
    <row r="10" s="137" customFormat="1" ht="30" customHeight="1" spans="1:11">
      <c r="A10" s="148" t="s">
        <v>82</v>
      </c>
      <c r="B10" s="62" t="s">
        <v>83</v>
      </c>
      <c r="C10" s="62" t="s">
        <v>20</v>
      </c>
      <c r="D10" s="62" t="s">
        <v>50</v>
      </c>
      <c r="E10" s="62" t="s">
        <v>66</v>
      </c>
      <c r="F10" s="62" t="s">
        <v>84</v>
      </c>
      <c r="G10" s="62" t="s">
        <v>75</v>
      </c>
      <c r="H10" s="62" t="s">
        <v>85</v>
      </c>
      <c r="I10" s="62" t="s">
        <v>86</v>
      </c>
      <c r="J10" s="153" t="s">
        <v>87</v>
      </c>
      <c r="K10" s="62" t="s">
        <v>88</v>
      </c>
    </row>
    <row r="11" s="137" customFormat="1" ht="30" customHeight="1" spans="1:11">
      <c r="A11" s="148" t="s">
        <v>89</v>
      </c>
      <c r="B11" s="114" t="s">
        <v>90</v>
      </c>
      <c r="C11" s="114" t="s">
        <v>20</v>
      </c>
      <c r="D11" s="114" t="s">
        <v>50</v>
      </c>
      <c r="E11" s="114" t="s">
        <v>51</v>
      </c>
      <c r="F11" s="114" t="s">
        <v>91</v>
      </c>
      <c r="G11" s="114" t="s">
        <v>75</v>
      </c>
      <c r="H11" s="114" t="s">
        <v>92</v>
      </c>
      <c r="I11" s="115" t="s">
        <v>93</v>
      </c>
      <c r="J11" s="114" t="s">
        <v>56</v>
      </c>
      <c r="K11" s="114" t="s">
        <v>94</v>
      </c>
    </row>
    <row r="12" s="137" customFormat="1" ht="30" customHeight="1" spans="1:11">
      <c r="A12" s="148" t="s">
        <v>95</v>
      </c>
      <c r="B12" s="114" t="s">
        <v>96</v>
      </c>
      <c r="C12" s="114" t="s">
        <v>20</v>
      </c>
      <c r="D12" s="114" t="s">
        <v>50</v>
      </c>
      <c r="E12" s="114" t="s">
        <v>58</v>
      </c>
      <c r="F12" s="114" t="s">
        <v>97</v>
      </c>
      <c r="G12" s="114" t="s">
        <v>75</v>
      </c>
      <c r="H12" s="114" t="s">
        <v>98</v>
      </c>
      <c r="I12" s="114" t="s">
        <v>99</v>
      </c>
      <c r="J12" s="114" t="s">
        <v>100</v>
      </c>
      <c r="K12" s="114" t="s">
        <v>101</v>
      </c>
    </row>
    <row r="13" s="137" customFormat="1" ht="30" customHeight="1" spans="1:11">
      <c r="A13" s="148" t="s">
        <v>102</v>
      </c>
      <c r="B13" s="149" t="s">
        <v>96</v>
      </c>
      <c r="C13" s="149" t="s">
        <v>20</v>
      </c>
      <c r="D13" s="149" t="s">
        <v>103</v>
      </c>
      <c r="E13" s="150">
        <v>6</v>
      </c>
      <c r="F13" s="149" t="s">
        <v>104</v>
      </c>
      <c r="G13" s="151" t="s">
        <v>105</v>
      </c>
      <c r="H13" s="151" t="s">
        <v>106</v>
      </c>
      <c r="I13" s="151" t="s">
        <v>107</v>
      </c>
      <c r="J13" s="151" t="s">
        <v>108</v>
      </c>
      <c r="K13" s="151" t="s">
        <v>109</v>
      </c>
    </row>
    <row r="14" s="137" customFormat="1" ht="30" customHeight="1" spans="1:11">
      <c r="A14" s="148" t="s">
        <v>110</v>
      </c>
      <c r="B14" s="114" t="s">
        <v>49</v>
      </c>
      <c r="C14" s="114" t="s">
        <v>20</v>
      </c>
      <c r="D14" s="114" t="s">
        <v>65</v>
      </c>
      <c r="E14" s="114" t="s">
        <v>51</v>
      </c>
      <c r="F14" s="114" t="s">
        <v>111</v>
      </c>
      <c r="G14" s="114" t="s">
        <v>112</v>
      </c>
      <c r="H14" s="114"/>
      <c r="I14" s="114"/>
      <c r="J14" s="114" t="s">
        <v>56</v>
      </c>
      <c r="K14" s="114" t="s">
        <v>113</v>
      </c>
    </row>
    <row r="15" s="137" customFormat="1" ht="30" customHeight="1" spans="1:11">
      <c r="A15" s="148" t="s">
        <v>114</v>
      </c>
      <c r="B15" s="114" t="s">
        <v>115</v>
      </c>
      <c r="C15" s="114" t="s">
        <v>20</v>
      </c>
      <c r="D15" s="114" t="s">
        <v>116</v>
      </c>
      <c r="E15" s="114" t="s">
        <v>66</v>
      </c>
      <c r="F15" s="114" t="s">
        <v>117</v>
      </c>
      <c r="G15" s="62" t="s">
        <v>60</v>
      </c>
      <c r="H15" s="62" t="s">
        <v>118</v>
      </c>
      <c r="I15" s="114" t="s">
        <v>119</v>
      </c>
      <c r="J15" s="115" t="s">
        <v>120</v>
      </c>
      <c r="K15" s="115" t="s">
        <v>78</v>
      </c>
    </row>
    <row r="16" s="137" customFormat="1" ht="30" customHeight="1" spans="1:11">
      <c r="A16" s="148" t="s">
        <v>121</v>
      </c>
      <c r="B16" s="92" t="s">
        <v>122</v>
      </c>
      <c r="C16" s="62" t="s">
        <v>20</v>
      </c>
      <c r="D16" s="62" t="s">
        <v>123</v>
      </c>
      <c r="E16" s="92" t="s">
        <v>58</v>
      </c>
      <c r="F16" s="62" t="s">
        <v>124</v>
      </c>
      <c r="G16" s="62" t="s">
        <v>125</v>
      </c>
      <c r="H16" s="92" t="s">
        <v>126</v>
      </c>
      <c r="I16" s="92" t="s">
        <v>127</v>
      </c>
      <c r="J16" s="158" t="s">
        <v>87</v>
      </c>
      <c r="K16" s="92" t="s">
        <v>128</v>
      </c>
    </row>
    <row r="17" s="137" customFormat="1" ht="39.95" customHeight="1" spans="1:11">
      <c r="A17" s="148" t="s">
        <v>129</v>
      </c>
      <c r="B17" s="92" t="s">
        <v>122</v>
      </c>
      <c r="C17" s="62" t="s">
        <v>20</v>
      </c>
      <c r="D17" s="62" t="s">
        <v>50</v>
      </c>
      <c r="E17" s="152">
        <v>4</v>
      </c>
      <c r="F17" s="153" t="s">
        <v>130</v>
      </c>
      <c r="G17" s="62" t="s">
        <v>75</v>
      </c>
      <c r="H17" s="92" t="s">
        <v>131</v>
      </c>
      <c r="I17" s="92" t="s">
        <v>132</v>
      </c>
      <c r="J17" s="151" t="s">
        <v>133</v>
      </c>
      <c r="K17" s="92" t="s">
        <v>88</v>
      </c>
    </row>
    <row r="18" s="137" customFormat="1" ht="39.95" customHeight="1" spans="1:11">
      <c r="A18" s="148" t="s">
        <v>134</v>
      </c>
      <c r="B18" s="92" t="s">
        <v>122</v>
      </c>
      <c r="C18" s="62" t="s">
        <v>20</v>
      </c>
      <c r="D18" s="62" t="s">
        <v>65</v>
      </c>
      <c r="E18" s="152">
        <v>5</v>
      </c>
      <c r="F18" s="62" t="s">
        <v>84</v>
      </c>
      <c r="G18" s="62" t="s">
        <v>75</v>
      </c>
      <c r="H18" s="92" t="s">
        <v>135</v>
      </c>
      <c r="I18" s="92" t="s">
        <v>136</v>
      </c>
      <c r="J18" s="151" t="s">
        <v>133</v>
      </c>
      <c r="K18" s="92" t="s">
        <v>88</v>
      </c>
    </row>
    <row r="19" s="137" customFormat="1" ht="39.95" customHeight="1" spans="1:11">
      <c r="A19" s="148" t="s">
        <v>137</v>
      </c>
      <c r="B19" s="154" t="s">
        <v>138</v>
      </c>
      <c r="C19" s="62" t="s">
        <v>20</v>
      </c>
      <c r="D19" s="62" t="s">
        <v>50</v>
      </c>
      <c r="E19" s="150">
        <v>3</v>
      </c>
      <c r="F19" s="154" t="s">
        <v>139</v>
      </c>
      <c r="G19" s="62" t="s">
        <v>75</v>
      </c>
      <c r="H19" s="154" t="s">
        <v>140</v>
      </c>
      <c r="I19" s="154" t="s">
        <v>141</v>
      </c>
      <c r="J19" s="157" t="s">
        <v>142</v>
      </c>
      <c r="K19" s="92" t="s">
        <v>143</v>
      </c>
    </row>
    <row r="20" s="137" customFormat="1" ht="39.95" customHeight="1" spans="1:11">
      <c r="A20" s="148" t="s">
        <v>144</v>
      </c>
      <c r="B20" s="155" t="s">
        <v>145</v>
      </c>
      <c r="C20" s="62" t="s">
        <v>20</v>
      </c>
      <c r="D20" s="62" t="s">
        <v>50</v>
      </c>
      <c r="E20" s="150">
        <v>3</v>
      </c>
      <c r="F20" s="154" t="s">
        <v>146</v>
      </c>
      <c r="G20" s="62" t="s">
        <v>75</v>
      </c>
      <c r="H20" s="154" t="s">
        <v>147</v>
      </c>
      <c r="I20" s="154" t="s">
        <v>148</v>
      </c>
      <c r="J20" s="157" t="s">
        <v>149</v>
      </c>
      <c r="K20" s="92" t="s">
        <v>143</v>
      </c>
    </row>
    <row r="21" s="137" customFormat="1" ht="39.95" customHeight="1" spans="1:11">
      <c r="A21" s="148" t="s">
        <v>150</v>
      </c>
      <c r="B21" s="154" t="s">
        <v>145</v>
      </c>
      <c r="C21" s="62" t="s">
        <v>20</v>
      </c>
      <c r="D21" s="62" t="s">
        <v>123</v>
      </c>
      <c r="E21" s="150">
        <v>4</v>
      </c>
      <c r="F21" s="154" t="s">
        <v>151</v>
      </c>
      <c r="G21" s="62" t="s">
        <v>75</v>
      </c>
      <c r="H21" s="154" t="s">
        <v>152</v>
      </c>
      <c r="I21" s="154" t="s">
        <v>153</v>
      </c>
      <c r="J21" s="157" t="s">
        <v>142</v>
      </c>
      <c r="K21" s="92" t="s">
        <v>154</v>
      </c>
    </row>
    <row r="22" s="137" customFormat="1" ht="39.95" customHeight="1" spans="1:11">
      <c r="A22" s="148" t="s">
        <v>155</v>
      </c>
      <c r="B22" s="154" t="s">
        <v>19</v>
      </c>
      <c r="C22" s="62" t="s">
        <v>20</v>
      </c>
      <c r="D22" s="62" t="s">
        <v>50</v>
      </c>
      <c r="E22" s="150">
        <v>3</v>
      </c>
      <c r="F22" s="154" t="s">
        <v>151</v>
      </c>
      <c r="G22" s="62" t="s">
        <v>75</v>
      </c>
      <c r="H22" s="154" t="s">
        <v>152</v>
      </c>
      <c r="I22" s="154" t="s">
        <v>153</v>
      </c>
      <c r="J22" s="157" t="s">
        <v>142</v>
      </c>
      <c r="K22" s="92" t="s">
        <v>154</v>
      </c>
    </row>
    <row r="23" s="137" customFormat="1" ht="63" customHeight="1" spans="1:11">
      <c r="A23" s="148" t="s">
        <v>156</v>
      </c>
      <c r="B23" s="155" t="s">
        <v>157</v>
      </c>
      <c r="C23" s="62" t="s">
        <v>20</v>
      </c>
      <c r="D23" s="62" t="s">
        <v>65</v>
      </c>
      <c r="E23" s="150">
        <v>4</v>
      </c>
      <c r="F23" s="154" t="s">
        <v>146</v>
      </c>
      <c r="G23" s="62" t="s">
        <v>75</v>
      </c>
      <c r="H23" s="154" t="s">
        <v>147</v>
      </c>
      <c r="I23" s="154" t="s">
        <v>148</v>
      </c>
      <c r="J23" s="157" t="s">
        <v>149</v>
      </c>
      <c r="K23" s="92" t="s">
        <v>143</v>
      </c>
    </row>
    <row r="24" s="137" customFormat="1" ht="39.95" customHeight="1" spans="1:11">
      <c r="A24" s="148" t="s">
        <v>158</v>
      </c>
      <c r="B24" s="154" t="s">
        <v>159</v>
      </c>
      <c r="C24" s="62" t="s">
        <v>20</v>
      </c>
      <c r="D24" s="62" t="s">
        <v>65</v>
      </c>
      <c r="E24" s="150">
        <v>4</v>
      </c>
      <c r="F24" s="154" t="s">
        <v>139</v>
      </c>
      <c r="G24" s="62" t="s">
        <v>75</v>
      </c>
      <c r="H24" s="154" t="s">
        <v>140</v>
      </c>
      <c r="I24" s="154" t="s">
        <v>141</v>
      </c>
      <c r="J24" s="157" t="s">
        <v>142</v>
      </c>
      <c r="K24" s="92" t="s">
        <v>143</v>
      </c>
    </row>
    <row r="25" s="137" customFormat="1" ht="39.95" customHeight="1" spans="1:11">
      <c r="A25" s="148" t="s">
        <v>160</v>
      </c>
      <c r="B25" s="154" t="s">
        <v>161</v>
      </c>
      <c r="C25" s="62" t="s">
        <v>20</v>
      </c>
      <c r="D25" s="62" t="s">
        <v>50</v>
      </c>
      <c r="E25" s="150">
        <v>4</v>
      </c>
      <c r="F25" s="62" t="s">
        <v>162</v>
      </c>
      <c r="G25" s="62" t="s">
        <v>75</v>
      </c>
      <c r="H25" s="154" t="s">
        <v>163</v>
      </c>
      <c r="I25" s="154" t="s">
        <v>164</v>
      </c>
      <c r="J25" s="157" t="s">
        <v>165</v>
      </c>
      <c r="K25" s="62" t="s">
        <v>166</v>
      </c>
    </row>
    <row r="26" s="137" customFormat="1" ht="39.95" customHeight="1" spans="1:11">
      <c r="A26" s="148" t="s">
        <v>167</v>
      </c>
      <c r="B26" s="154" t="s">
        <v>138</v>
      </c>
      <c r="C26" s="62" t="s">
        <v>20</v>
      </c>
      <c r="D26" s="62" t="s">
        <v>65</v>
      </c>
      <c r="E26" s="150">
        <v>5</v>
      </c>
      <c r="F26" s="62" t="s">
        <v>162</v>
      </c>
      <c r="G26" s="62" t="s">
        <v>75</v>
      </c>
      <c r="H26" s="154" t="s">
        <v>163</v>
      </c>
      <c r="I26" s="154" t="s">
        <v>164</v>
      </c>
      <c r="J26" s="157" t="s">
        <v>165</v>
      </c>
      <c r="K26" s="62" t="s">
        <v>166</v>
      </c>
    </row>
    <row r="27" s="137" customFormat="1" ht="39.95" customHeight="1" spans="1:11">
      <c r="A27" s="148" t="s">
        <v>168</v>
      </c>
      <c r="B27" s="154" t="s">
        <v>138</v>
      </c>
      <c r="C27" s="62" t="s">
        <v>20</v>
      </c>
      <c r="D27" s="62" t="s">
        <v>50</v>
      </c>
      <c r="E27" s="150">
        <v>4</v>
      </c>
      <c r="F27" s="154" t="s">
        <v>169</v>
      </c>
      <c r="G27" s="62" t="s">
        <v>75</v>
      </c>
      <c r="H27" s="154" t="s">
        <v>170</v>
      </c>
      <c r="I27" s="154" t="s">
        <v>171</v>
      </c>
      <c r="J27" s="157" t="s">
        <v>165</v>
      </c>
      <c r="K27" s="62" t="s">
        <v>166</v>
      </c>
    </row>
    <row r="28" s="137" customFormat="1" ht="39.95" customHeight="1" spans="1:11">
      <c r="A28" s="148" t="s">
        <v>172</v>
      </c>
      <c r="B28" s="154" t="s">
        <v>173</v>
      </c>
      <c r="C28" s="62" t="s">
        <v>20</v>
      </c>
      <c r="D28" s="62" t="s">
        <v>65</v>
      </c>
      <c r="E28" s="150">
        <v>5</v>
      </c>
      <c r="F28" s="154" t="s">
        <v>169</v>
      </c>
      <c r="G28" s="62" t="s">
        <v>75</v>
      </c>
      <c r="H28" s="154" t="s">
        <v>170</v>
      </c>
      <c r="I28" s="154" t="s">
        <v>171</v>
      </c>
      <c r="J28" s="157" t="s">
        <v>165</v>
      </c>
      <c r="K28" s="62" t="s">
        <v>166</v>
      </c>
    </row>
    <row r="29" s="137" customFormat="1" ht="39.95" customHeight="1" spans="1:11">
      <c r="A29" s="148" t="s">
        <v>174</v>
      </c>
      <c r="B29" s="154" t="s">
        <v>161</v>
      </c>
      <c r="C29" s="62" t="s">
        <v>20</v>
      </c>
      <c r="D29" s="62" t="s">
        <v>50</v>
      </c>
      <c r="E29" s="150">
        <v>4</v>
      </c>
      <c r="F29" s="62" t="s">
        <v>175</v>
      </c>
      <c r="G29" s="62" t="s">
        <v>75</v>
      </c>
      <c r="H29" s="154" t="s">
        <v>163</v>
      </c>
      <c r="I29" s="154" t="s">
        <v>164</v>
      </c>
      <c r="J29" s="157" t="s">
        <v>165</v>
      </c>
      <c r="K29" s="62" t="s">
        <v>166</v>
      </c>
    </row>
    <row r="30" s="137" customFormat="1" ht="39.95" customHeight="1" spans="1:11">
      <c r="A30" s="148" t="s">
        <v>176</v>
      </c>
      <c r="B30" s="154" t="s">
        <v>138</v>
      </c>
      <c r="C30" s="62" t="s">
        <v>20</v>
      </c>
      <c r="D30" s="62" t="s">
        <v>65</v>
      </c>
      <c r="E30" s="150">
        <v>5</v>
      </c>
      <c r="F30" s="62" t="s">
        <v>175</v>
      </c>
      <c r="G30" s="62" t="s">
        <v>75</v>
      </c>
      <c r="H30" s="154" t="s">
        <v>163</v>
      </c>
      <c r="I30" s="154" t="s">
        <v>164</v>
      </c>
      <c r="J30" s="157" t="s">
        <v>165</v>
      </c>
      <c r="K30" s="62" t="s">
        <v>166</v>
      </c>
    </row>
    <row r="31" s="137" customFormat="1" ht="39.95" customHeight="1" spans="2:11">
      <c r="B31" s="156"/>
      <c r="C31" s="62"/>
      <c r="D31" s="62"/>
      <c r="E31" s="150"/>
      <c r="F31" s="156"/>
      <c r="G31" s="62"/>
      <c r="H31" s="156"/>
      <c r="I31" s="156"/>
      <c r="J31" s="159"/>
      <c r="K31" s="114"/>
    </row>
    <row r="32" s="137" customFormat="1" ht="39.95" customHeight="1" spans="2:11">
      <c r="B32" s="114"/>
      <c r="C32" s="62"/>
      <c r="D32" s="114"/>
      <c r="E32" s="114"/>
      <c r="F32" s="114"/>
      <c r="G32" s="114"/>
      <c r="H32" s="114"/>
      <c r="I32" s="114"/>
      <c r="J32" s="114"/>
      <c r="K32" s="114"/>
    </row>
  </sheetData>
  <mergeCells count="2">
    <mergeCell ref="A1:K1"/>
    <mergeCell ref="A2:K2"/>
  </mergeCells>
  <dataValidations count="4">
    <dataValidation allowBlank="1" showInputMessage="1" showErrorMessage="1" sqref="C3"/>
    <dataValidation type="list" allowBlank="1" showInputMessage="1" showErrorMessage="1" sqref="C1:C2 C4:C7 C8:C10 C11:C16 C17:C65538">
      <formula1>INDIRECT("字典!$a$2:$a$30")</formula1>
    </dataValidation>
    <dataValidation type="list" allowBlank="1" showInputMessage="1" showErrorMessage="1" sqref="D4:D7 D8:D10 D11:D16 D17:D31 D33:D65538">
      <formula1>"第一主编,第二主编,第三主编,主审,第一副主编,第二副主编,第三副主编,参编"</formula1>
    </dataValidation>
    <dataValidation type="list" allowBlank="1" showInputMessage="1" showErrorMessage="1" sqref="E4:E7 E8:E10 E11:E16 E17:E65538">
      <formula1>"1,2,3,4,5,6,7,8,9,10,11,12,13,14,15"</formula1>
    </dataValidation>
  </dataValidations>
  <pageMargins left="0.590277777777778" right="0.590277777777778" top="0.984027777777778" bottom="0.984027777777778" header="0.510416666666667" footer="0.510416666666667"/>
  <pageSetup paperSize="9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I17"/>
  <sheetViews>
    <sheetView zoomScale="85" zoomScaleNormal="85" workbookViewId="0">
      <selection activeCell="H2" sqref="H2"/>
    </sheetView>
  </sheetViews>
  <sheetFormatPr defaultColWidth="9" defaultRowHeight="15.75"/>
  <cols>
    <col min="1" max="1" width="5.125" style="124" customWidth="1"/>
    <col min="2" max="2" width="7.5" style="124" customWidth="1"/>
    <col min="3" max="3" width="23.75" style="125" customWidth="1"/>
    <col min="4" max="4" width="27" style="124" customWidth="1"/>
    <col min="5" max="5" width="18.5" style="124" customWidth="1"/>
    <col min="6" max="6" width="25.5" style="124" customWidth="1"/>
    <col min="7" max="7" width="12" style="124" customWidth="1"/>
    <col min="8" max="8" width="24.625" style="124" customWidth="1"/>
    <col min="9" max="9" width="9.25" style="124" customWidth="1"/>
    <col min="10" max="16384" width="9" style="124"/>
  </cols>
  <sheetData>
    <row r="1" ht="112.5" customHeight="1" spans="1:9">
      <c r="A1" s="126" t="s">
        <v>177</v>
      </c>
      <c r="B1" s="127"/>
      <c r="C1" s="127"/>
      <c r="D1" s="127"/>
      <c r="E1" s="127"/>
      <c r="F1" s="127"/>
      <c r="G1" s="127"/>
      <c r="H1" s="127"/>
      <c r="I1" s="136"/>
    </row>
    <row r="2" s="123" customFormat="1" ht="53.25" customHeight="1" spans="1:9">
      <c r="A2" s="8" t="s">
        <v>2</v>
      </c>
      <c r="B2" s="8" t="s">
        <v>3</v>
      </c>
      <c r="C2" s="8" t="s">
        <v>178</v>
      </c>
      <c r="D2" s="8" t="s">
        <v>179</v>
      </c>
      <c r="E2" s="128" t="s">
        <v>180</v>
      </c>
      <c r="F2" s="8" t="s">
        <v>181</v>
      </c>
      <c r="G2" s="128" t="s">
        <v>182</v>
      </c>
      <c r="H2" s="8" t="s">
        <v>183</v>
      </c>
      <c r="I2" s="8" t="s">
        <v>184</v>
      </c>
    </row>
    <row r="3" s="123" customFormat="1" ht="42.75" customHeight="1" spans="1:9">
      <c r="A3" s="129" t="s">
        <v>12</v>
      </c>
      <c r="B3" s="130" t="s">
        <v>13</v>
      </c>
      <c r="C3" s="81" t="s">
        <v>40</v>
      </c>
      <c r="D3" s="130" t="s">
        <v>185</v>
      </c>
      <c r="E3" s="131"/>
      <c r="F3" s="73" t="s">
        <v>186</v>
      </c>
      <c r="G3" s="132" t="s">
        <v>187</v>
      </c>
      <c r="H3" s="130" t="s">
        <v>185</v>
      </c>
      <c r="I3" s="73" t="s">
        <v>46</v>
      </c>
    </row>
    <row r="4" s="123" customFormat="1" ht="24.95" customHeight="1" spans="1:9">
      <c r="A4" s="133">
        <v>1</v>
      </c>
      <c r="B4" s="107"/>
      <c r="C4" s="107"/>
      <c r="D4" s="107"/>
      <c r="E4" s="107"/>
      <c r="F4" s="107"/>
      <c r="G4" s="134"/>
      <c r="H4" s="107"/>
      <c r="I4" s="107"/>
    </row>
    <row r="5" ht="24.95" customHeight="1" spans="1:9">
      <c r="A5" s="133">
        <v>2</v>
      </c>
      <c r="B5" s="135"/>
      <c r="C5" s="75"/>
      <c r="D5" s="135"/>
      <c r="E5" s="135"/>
      <c r="F5" s="135"/>
      <c r="G5" s="135"/>
      <c r="H5" s="135"/>
      <c r="I5" s="135"/>
    </row>
    <row r="6" ht="24.95" customHeight="1" spans="1:9">
      <c r="A6" s="133">
        <v>3</v>
      </c>
      <c r="B6" s="135"/>
      <c r="C6" s="75"/>
      <c r="D6" s="135"/>
      <c r="E6" s="135"/>
      <c r="F6" s="135"/>
      <c r="G6" s="135"/>
      <c r="H6" s="135"/>
      <c r="I6" s="135"/>
    </row>
    <row r="7" ht="24.95" customHeight="1" spans="1:9">
      <c r="A7" s="133">
        <v>4</v>
      </c>
      <c r="B7" s="135"/>
      <c r="C7" s="75"/>
      <c r="D7" s="135"/>
      <c r="E7" s="135"/>
      <c r="F7" s="135"/>
      <c r="G7" s="135"/>
      <c r="H7" s="135"/>
      <c r="I7" s="135"/>
    </row>
    <row r="8" ht="24.95" customHeight="1" spans="1:9">
      <c r="A8" s="133">
        <v>5</v>
      </c>
      <c r="B8" s="135"/>
      <c r="C8" s="75"/>
      <c r="D8" s="135"/>
      <c r="E8" s="135"/>
      <c r="F8" s="135"/>
      <c r="G8" s="135"/>
      <c r="H8" s="135"/>
      <c r="I8" s="135"/>
    </row>
    <row r="9" ht="24.95" customHeight="1" spans="1:9">
      <c r="A9" s="133">
        <v>6</v>
      </c>
      <c r="B9" s="135"/>
      <c r="C9" s="75"/>
      <c r="D9" s="135"/>
      <c r="E9" s="135"/>
      <c r="F9" s="135"/>
      <c r="G9" s="135"/>
      <c r="H9" s="135"/>
      <c r="I9" s="135"/>
    </row>
    <row r="10" ht="24.95" customHeight="1" spans="1:9">
      <c r="A10" s="133">
        <v>7</v>
      </c>
      <c r="B10" s="135"/>
      <c r="C10" s="75"/>
      <c r="D10" s="135"/>
      <c r="E10" s="135"/>
      <c r="F10" s="135"/>
      <c r="G10" s="135"/>
      <c r="H10" s="135"/>
      <c r="I10" s="135"/>
    </row>
    <row r="11" ht="24.95" customHeight="1" spans="1:9">
      <c r="A11" s="133">
        <v>8</v>
      </c>
      <c r="B11" s="135"/>
      <c r="C11" s="75"/>
      <c r="D11" s="135"/>
      <c r="E11" s="135"/>
      <c r="F11" s="135"/>
      <c r="G11" s="135"/>
      <c r="H11" s="135"/>
      <c r="I11" s="135"/>
    </row>
    <row r="12" ht="24.95" customHeight="1" spans="1:9">
      <c r="A12" s="133">
        <v>9</v>
      </c>
      <c r="B12" s="135"/>
      <c r="C12" s="75"/>
      <c r="D12" s="135"/>
      <c r="E12" s="135"/>
      <c r="F12" s="135"/>
      <c r="G12" s="135"/>
      <c r="H12" s="135"/>
      <c r="I12" s="135"/>
    </row>
    <row r="13" ht="24.95" customHeight="1" spans="1:9">
      <c r="A13" s="133">
        <v>10</v>
      </c>
      <c r="B13" s="135"/>
      <c r="C13" s="75"/>
      <c r="D13" s="135"/>
      <c r="E13" s="135"/>
      <c r="F13" s="135"/>
      <c r="G13" s="135"/>
      <c r="H13" s="135"/>
      <c r="I13" s="135"/>
    </row>
    <row r="14" ht="24.95" customHeight="1" spans="1:9">
      <c r="A14" s="133">
        <v>11</v>
      </c>
      <c r="B14" s="135"/>
      <c r="C14" s="75"/>
      <c r="D14" s="135"/>
      <c r="E14" s="135"/>
      <c r="F14" s="135"/>
      <c r="G14" s="135"/>
      <c r="H14" s="135"/>
      <c r="I14" s="135"/>
    </row>
    <row r="15" ht="24.95" customHeight="1" spans="1:9">
      <c r="A15" s="133">
        <v>12</v>
      </c>
      <c r="B15" s="135"/>
      <c r="C15" s="75"/>
      <c r="D15" s="135"/>
      <c r="E15" s="135"/>
      <c r="F15" s="135"/>
      <c r="G15" s="135"/>
      <c r="H15" s="135"/>
      <c r="I15" s="135"/>
    </row>
    <row r="16" ht="24.95" customHeight="1" spans="1:9">
      <c r="A16" s="133">
        <v>13</v>
      </c>
      <c r="B16" s="135"/>
      <c r="C16" s="75"/>
      <c r="D16" s="135"/>
      <c r="E16" s="135"/>
      <c r="F16" s="135"/>
      <c r="G16" s="135"/>
      <c r="H16" s="135"/>
      <c r="I16" s="135"/>
    </row>
    <row r="17" ht="24.95" customHeight="1" spans="1:9">
      <c r="A17" s="133">
        <v>14</v>
      </c>
      <c r="B17" s="135"/>
      <c r="C17" s="75"/>
      <c r="D17" s="135"/>
      <c r="E17" s="135"/>
      <c r="F17" s="135"/>
      <c r="G17" s="135"/>
      <c r="H17" s="135"/>
      <c r="I17" s="135"/>
    </row>
  </sheetData>
  <mergeCells count="1">
    <mergeCell ref="A1:I1"/>
  </mergeCells>
  <dataValidations count="2">
    <dataValidation type="list" allowBlank="1" showInputMessage="1" showErrorMessage="1" sqref="C1 C3:C65536">
      <formula1>INDIRECT("字典!$a$2:$a$30")</formula1>
    </dataValidation>
    <dataValidation allowBlank="1" showInputMessage="1" showErrorMessage="1" sqref="C2"/>
  </dataValidations>
  <pageMargins left="0.590277777777778" right="0.590277777777778" top="0.984027777777778" bottom="0.984027777777778" header="0.510416666666667" footer="0.510416666666667"/>
  <pageSetup paperSize="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2"/>
  </sheetPr>
  <dimension ref="A1:I6"/>
  <sheetViews>
    <sheetView zoomScale="85" zoomScaleNormal="85" workbookViewId="0">
      <selection activeCell="E8" sqref="E8"/>
    </sheetView>
  </sheetViews>
  <sheetFormatPr defaultColWidth="9" defaultRowHeight="14.25" outlineLevelRow="5"/>
  <cols>
    <col min="1" max="1" width="4.875" style="95" customWidth="1"/>
    <col min="2" max="2" width="7.75" style="95" customWidth="1"/>
    <col min="3" max="3" width="13.5" style="95" customWidth="1"/>
    <col min="4" max="4" width="29" style="95" customWidth="1"/>
    <col min="5" max="5" width="14.625" style="95" customWidth="1"/>
    <col min="6" max="6" width="23.375" style="95" customWidth="1"/>
    <col min="7" max="7" width="12.875" style="95" customWidth="1"/>
    <col min="8" max="8" width="18.875" style="95" customWidth="1"/>
    <col min="9" max="9" width="10.5" style="95" customWidth="1"/>
    <col min="10" max="16384" width="9" style="95"/>
  </cols>
  <sheetData>
    <row r="1" ht="83.25" customHeight="1" spans="1:9">
      <c r="A1" s="78" t="s">
        <v>188</v>
      </c>
      <c r="B1" s="45"/>
      <c r="C1" s="45"/>
      <c r="D1" s="45"/>
      <c r="E1" s="45"/>
      <c r="F1" s="45"/>
      <c r="G1" s="45"/>
      <c r="H1" s="45"/>
      <c r="I1" s="45"/>
    </row>
    <row r="2" ht="67.5" customHeight="1" spans="1:9">
      <c r="A2" s="116" t="s">
        <v>2</v>
      </c>
      <c r="B2" s="117" t="s">
        <v>3</v>
      </c>
      <c r="C2" s="117" t="s">
        <v>178</v>
      </c>
      <c r="D2" s="117" t="s">
        <v>179</v>
      </c>
      <c r="E2" s="117" t="s">
        <v>180</v>
      </c>
      <c r="F2" s="117" t="s">
        <v>181</v>
      </c>
      <c r="G2" s="117" t="s">
        <v>189</v>
      </c>
      <c r="H2" s="117" t="s">
        <v>190</v>
      </c>
      <c r="I2" s="121" t="s">
        <v>184</v>
      </c>
    </row>
    <row r="3" ht="33.75" customHeight="1" spans="1:9">
      <c r="A3" s="118" t="s">
        <v>12</v>
      </c>
      <c r="B3" s="118" t="s">
        <v>13</v>
      </c>
      <c r="C3" s="118" t="s">
        <v>40</v>
      </c>
      <c r="D3" s="118" t="s">
        <v>191</v>
      </c>
      <c r="E3" s="118" t="s">
        <v>13</v>
      </c>
      <c r="F3" s="118" t="s">
        <v>185</v>
      </c>
      <c r="G3" s="119" t="s">
        <v>192</v>
      </c>
      <c r="H3" s="118" t="s">
        <v>193</v>
      </c>
      <c r="I3" s="122" t="s">
        <v>194</v>
      </c>
    </row>
    <row r="4" ht="45" customHeight="1" spans="1:9">
      <c r="A4" s="120">
        <v>1</v>
      </c>
      <c r="B4" s="53"/>
      <c r="C4" s="53"/>
      <c r="D4" s="53"/>
      <c r="E4" s="53"/>
      <c r="F4" s="53"/>
      <c r="G4" s="53"/>
      <c r="H4" s="53"/>
      <c r="I4" s="53"/>
    </row>
    <row r="5" ht="45" customHeight="1" spans="1:9">
      <c r="A5" s="120">
        <v>2</v>
      </c>
      <c r="B5" s="53"/>
      <c r="C5" s="53"/>
      <c r="D5" s="53"/>
      <c r="E5" s="53"/>
      <c r="F5" s="53"/>
      <c r="G5" s="53"/>
      <c r="H5" s="53"/>
      <c r="I5" s="53"/>
    </row>
    <row r="6" ht="45" customHeight="1" spans="1:9">
      <c r="A6" s="120">
        <v>3</v>
      </c>
      <c r="B6" s="53"/>
      <c r="C6" s="53"/>
      <c r="D6" s="53"/>
      <c r="E6" s="53"/>
      <c r="F6" s="53"/>
      <c r="G6" s="53"/>
      <c r="H6" s="53"/>
      <c r="I6" s="53"/>
    </row>
  </sheetData>
  <mergeCells count="1">
    <mergeCell ref="A1:I1"/>
  </mergeCells>
  <dataValidations count="2">
    <dataValidation type="list" allowBlank="1" showInputMessage="1" showErrorMessage="1" sqref="C1 C3:C65536">
      <formula1>INDIRECT("字典!$a$2:$a$30")</formula1>
    </dataValidation>
    <dataValidation allowBlank="1" showInputMessage="1" showErrorMessage="1" sqref="C2"/>
  </dataValidations>
  <pageMargins left="0.590277777777778" right="0.590277777777778" top="0.984027777777778" bottom="0.984027777777778" header="0.510416666666667" footer="0.51041666666666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34"/>
  </sheetPr>
  <dimension ref="A1:G6"/>
  <sheetViews>
    <sheetView zoomScale="85" zoomScaleNormal="85" workbookViewId="0">
      <selection activeCell="D16" sqref="D16"/>
    </sheetView>
  </sheetViews>
  <sheetFormatPr defaultColWidth="9" defaultRowHeight="14.25" outlineLevelRow="5" outlineLevelCol="6"/>
  <cols>
    <col min="1" max="2" width="9" style="95"/>
    <col min="3" max="3" width="15.75" style="95" customWidth="1"/>
    <col min="4" max="4" width="35.75" style="95" customWidth="1"/>
    <col min="5" max="5" width="11.625" style="95" customWidth="1"/>
    <col min="6" max="6" width="33" style="95" customWidth="1"/>
    <col min="7" max="7" width="14.625" style="95" customWidth="1"/>
    <col min="8" max="8" width="33.125" style="95" customWidth="1"/>
    <col min="9" max="16384" width="9" style="95"/>
  </cols>
  <sheetData>
    <row r="1" ht="78" customHeight="1" spans="1:7">
      <c r="A1" s="78" t="s">
        <v>195</v>
      </c>
      <c r="B1" s="105"/>
      <c r="C1" s="105"/>
      <c r="D1" s="105"/>
      <c r="E1" s="105"/>
      <c r="F1" s="105"/>
      <c r="G1" s="105"/>
    </row>
    <row r="2" ht="67.5" customHeight="1" spans="1:7">
      <c r="A2" s="8" t="s">
        <v>2</v>
      </c>
      <c r="B2" s="8" t="s">
        <v>3</v>
      </c>
      <c r="C2" s="8" t="s">
        <v>178</v>
      </c>
      <c r="D2" s="8" t="s">
        <v>181</v>
      </c>
      <c r="E2" s="8" t="s">
        <v>189</v>
      </c>
      <c r="F2" s="8" t="s">
        <v>196</v>
      </c>
      <c r="G2" s="8" t="s">
        <v>197</v>
      </c>
    </row>
    <row r="3" s="113" customFormat="1" ht="51.75" customHeight="1" spans="1:7">
      <c r="A3" s="59" t="s">
        <v>12</v>
      </c>
      <c r="B3" s="59" t="s">
        <v>198</v>
      </c>
      <c r="C3" s="59" t="s">
        <v>40</v>
      </c>
      <c r="D3" s="59" t="s">
        <v>199</v>
      </c>
      <c r="E3" s="81" t="s">
        <v>200</v>
      </c>
      <c r="F3" s="59" t="s">
        <v>201</v>
      </c>
      <c r="G3" s="59" t="s">
        <v>202</v>
      </c>
    </row>
    <row r="4" ht="47.1" customHeight="1" spans="1:7">
      <c r="A4" s="76">
        <v>1</v>
      </c>
      <c r="B4" s="53"/>
      <c r="C4" s="53"/>
      <c r="D4" s="76"/>
      <c r="E4" s="114"/>
      <c r="F4" s="53"/>
      <c r="G4" s="76"/>
    </row>
    <row r="5" ht="41.1" customHeight="1" spans="1:7">
      <c r="A5" s="76">
        <v>2</v>
      </c>
      <c r="B5" s="53"/>
      <c r="C5" s="53"/>
      <c r="D5" s="76"/>
      <c r="E5" s="114"/>
      <c r="F5" s="53"/>
      <c r="G5" s="76"/>
    </row>
    <row r="6" ht="35.1" customHeight="1" spans="1:7">
      <c r="A6" s="76">
        <v>3</v>
      </c>
      <c r="B6" s="60"/>
      <c r="C6" s="53"/>
      <c r="D6" s="74"/>
      <c r="E6" s="115"/>
      <c r="F6" s="60"/>
      <c r="G6" s="74"/>
    </row>
  </sheetData>
  <mergeCells count="1">
    <mergeCell ref="A1:G1"/>
  </mergeCells>
  <dataValidations count="3">
    <dataValidation type="list" allowBlank="1" showInputMessage="1" showErrorMessage="1" sqref="C1 C3:C4 C6:C65536">
      <formula1>INDIRECT("字典!$a$2:$a$30")</formula1>
    </dataValidation>
    <dataValidation allowBlank="1" showInputMessage="1" showErrorMessage="1" sqref="C2"/>
    <dataValidation type="list" allowBlank="1" showInputMessage="1" showErrorMessage="1" sqref="C5">
      <formula1>INDIRECT("字典!$a$2:$a$29")</formula1>
    </dataValidation>
  </dataValidations>
  <pageMargins left="0.75" right="0.75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5"/>
  </sheetPr>
  <dimension ref="A1:I8"/>
  <sheetViews>
    <sheetView zoomScale="85" zoomScaleNormal="85" workbookViewId="0">
      <selection activeCell="E12" sqref="E12"/>
    </sheetView>
  </sheetViews>
  <sheetFormatPr defaultColWidth="9" defaultRowHeight="14.25" outlineLevelRow="7"/>
  <cols>
    <col min="1" max="1" width="5.375" customWidth="1"/>
    <col min="2" max="2" width="10" customWidth="1"/>
    <col min="3" max="3" width="21.375" customWidth="1"/>
    <col min="4" max="4" width="24.5" customWidth="1"/>
    <col min="5" max="5" width="13" customWidth="1"/>
    <col min="6" max="6" width="15.125" customWidth="1"/>
    <col min="7" max="7" width="14.25" customWidth="1"/>
    <col min="8" max="8" width="21.25" customWidth="1"/>
    <col min="9" max="9" width="10.375" customWidth="1"/>
  </cols>
  <sheetData>
    <row r="1" ht="77.25" customHeight="1" spans="1:9">
      <c r="A1" s="78" t="s">
        <v>203</v>
      </c>
      <c r="B1" s="109"/>
      <c r="C1" s="109"/>
      <c r="D1" s="109"/>
      <c r="E1" s="109"/>
      <c r="F1" s="109"/>
      <c r="G1" s="109"/>
      <c r="H1" s="109"/>
      <c r="I1" s="109"/>
    </row>
    <row r="2" ht="58.5" customHeight="1" spans="1:9">
      <c r="A2" s="8" t="s">
        <v>2</v>
      </c>
      <c r="B2" s="8" t="s">
        <v>204</v>
      </c>
      <c r="C2" s="8" t="s">
        <v>178</v>
      </c>
      <c r="D2" s="8" t="s">
        <v>179</v>
      </c>
      <c r="E2" s="8" t="s">
        <v>205</v>
      </c>
      <c r="F2" s="8" t="s">
        <v>181</v>
      </c>
      <c r="G2" s="8" t="s">
        <v>189</v>
      </c>
      <c r="H2" s="8" t="s">
        <v>206</v>
      </c>
      <c r="I2" s="8" t="s">
        <v>184</v>
      </c>
    </row>
    <row r="3" s="5" customFormat="1" ht="25.5" customHeight="1" spans="1:9">
      <c r="A3" s="98" t="s">
        <v>12</v>
      </c>
      <c r="B3" s="98" t="s">
        <v>13</v>
      </c>
      <c r="C3" s="110" t="s">
        <v>14</v>
      </c>
      <c r="D3" s="98" t="s">
        <v>207</v>
      </c>
      <c r="E3" s="98"/>
      <c r="F3" s="98" t="s">
        <v>208</v>
      </c>
      <c r="G3" s="111" t="s">
        <v>209</v>
      </c>
      <c r="H3" s="98" t="s">
        <v>210</v>
      </c>
      <c r="I3" s="98" t="s">
        <v>194</v>
      </c>
    </row>
    <row r="4" ht="30" customHeight="1" spans="1:9">
      <c r="A4" s="112">
        <v>1</v>
      </c>
      <c r="B4" s="99"/>
      <c r="C4" s="99"/>
      <c r="D4" s="99"/>
      <c r="E4" s="99"/>
      <c r="F4" s="99"/>
      <c r="G4" s="108"/>
      <c r="H4" s="99"/>
      <c r="I4" s="99"/>
    </row>
    <row r="5" ht="30" customHeight="1" spans="1:9">
      <c r="A5" s="112">
        <v>2</v>
      </c>
      <c r="B5" s="99"/>
      <c r="C5" s="99"/>
      <c r="D5" s="99"/>
      <c r="E5" s="99"/>
      <c r="F5" s="99"/>
      <c r="G5" s="108"/>
      <c r="H5" s="99"/>
      <c r="I5" s="99"/>
    </row>
    <row r="6" ht="30" customHeight="1" spans="1:9">
      <c r="A6" s="112">
        <v>3</v>
      </c>
      <c r="B6" s="99"/>
      <c r="C6" s="99"/>
      <c r="D6" s="99"/>
      <c r="E6" s="99"/>
      <c r="F6" s="99"/>
      <c r="G6" s="108"/>
      <c r="H6" s="99"/>
      <c r="I6" s="99"/>
    </row>
    <row r="7" ht="30" customHeight="1" spans="1:9">
      <c r="A7" s="112">
        <v>4</v>
      </c>
      <c r="B7" s="99"/>
      <c r="C7" s="99"/>
      <c r="D7" s="99"/>
      <c r="E7" s="99"/>
      <c r="F7" s="99"/>
      <c r="G7" s="108"/>
      <c r="H7" s="99"/>
      <c r="I7" s="99"/>
    </row>
    <row r="8" ht="30" customHeight="1" spans="1:9">
      <c r="A8" s="112">
        <v>5</v>
      </c>
      <c r="B8" s="99"/>
      <c r="C8" s="99"/>
      <c r="D8" s="99"/>
      <c r="E8" s="99"/>
      <c r="F8" s="99"/>
      <c r="G8" s="108"/>
      <c r="H8" s="99"/>
      <c r="I8" s="99"/>
    </row>
  </sheetData>
  <mergeCells count="1">
    <mergeCell ref="A1:I1"/>
  </mergeCells>
  <dataValidations count="2">
    <dataValidation type="list" allowBlank="1" showInputMessage="1" showErrorMessage="1" sqref="C1 C3:C65536">
      <formula1>INDIRECT("字典!$a$2:$a$30")</formula1>
    </dataValidation>
    <dataValidation allowBlank="1" showInputMessage="1" showErrorMessage="1" sqref="C2"/>
  </dataValidations>
  <pageMargins left="0.75" right="0.75" top="1" bottom="1" header="0.5" footer="0.5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3"/>
  </sheetPr>
  <dimension ref="A1:G7"/>
  <sheetViews>
    <sheetView workbookViewId="0">
      <selection activeCell="B4" sqref="B4:G4"/>
    </sheetView>
  </sheetViews>
  <sheetFormatPr defaultColWidth="9" defaultRowHeight="14.25" outlineLevelRow="6" outlineLevelCol="6"/>
  <cols>
    <col min="1" max="1" width="6.625" customWidth="1"/>
    <col min="3" max="3" width="20.5" customWidth="1"/>
    <col min="4" max="4" width="31.125" customWidth="1"/>
    <col min="5" max="5" width="11.875" customWidth="1"/>
    <col min="6" max="6" width="37.875" customWidth="1"/>
    <col min="7" max="7" width="18.5" customWidth="1"/>
  </cols>
  <sheetData>
    <row r="1" ht="99.75" customHeight="1" spans="1:7">
      <c r="A1" s="78" t="s">
        <v>211</v>
      </c>
      <c r="B1" s="105"/>
      <c r="C1" s="105"/>
      <c r="D1" s="105"/>
      <c r="E1" s="105"/>
      <c r="F1" s="105"/>
      <c r="G1" s="105"/>
    </row>
    <row r="2" s="5" customFormat="1" ht="40.5" spans="1:7">
      <c r="A2" s="8" t="s">
        <v>2</v>
      </c>
      <c r="B2" s="8" t="s">
        <v>3</v>
      </c>
      <c r="C2" s="8" t="s">
        <v>178</v>
      </c>
      <c r="D2" s="8" t="s">
        <v>181</v>
      </c>
      <c r="E2" s="48" t="s">
        <v>189</v>
      </c>
      <c r="F2" s="8" t="s">
        <v>212</v>
      </c>
      <c r="G2" s="8" t="s">
        <v>197</v>
      </c>
    </row>
    <row r="3" ht="33.75" customHeight="1" spans="1:7">
      <c r="A3" s="59" t="s">
        <v>12</v>
      </c>
      <c r="B3" s="59" t="s">
        <v>198</v>
      </c>
      <c r="C3" s="59" t="s">
        <v>40</v>
      </c>
      <c r="D3" s="59" t="s">
        <v>213</v>
      </c>
      <c r="E3" s="81" t="s">
        <v>214</v>
      </c>
      <c r="F3" s="59" t="s">
        <v>215</v>
      </c>
      <c r="G3" s="59" t="s">
        <v>216</v>
      </c>
    </row>
    <row r="4" ht="39.95" customHeight="1" spans="1:7">
      <c r="A4" s="76">
        <v>1</v>
      </c>
      <c r="B4" s="51" t="s">
        <v>173</v>
      </c>
      <c r="C4" s="51" t="s">
        <v>20</v>
      </c>
      <c r="D4" s="51" t="s">
        <v>216</v>
      </c>
      <c r="E4" s="106" t="s">
        <v>217</v>
      </c>
      <c r="F4" s="51" t="s">
        <v>215</v>
      </c>
      <c r="G4" s="51" t="s">
        <v>216</v>
      </c>
    </row>
    <row r="5" ht="36.95" customHeight="1" spans="1:7">
      <c r="A5" s="76">
        <v>2</v>
      </c>
      <c r="B5" s="107"/>
      <c r="C5" s="107"/>
      <c r="D5" s="107"/>
      <c r="E5" s="108"/>
      <c r="F5" s="107"/>
      <c r="G5" s="107"/>
    </row>
    <row r="6" ht="24.95" customHeight="1" spans="1:7">
      <c r="A6" s="76">
        <v>3</v>
      </c>
      <c r="B6" s="107"/>
      <c r="C6" s="107"/>
      <c r="D6" s="107"/>
      <c r="E6" s="108"/>
      <c r="F6" s="51"/>
      <c r="G6" s="51"/>
    </row>
    <row r="7" ht="24.95" customHeight="1" spans="1:7">
      <c r="A7" s="76">
        <v>4</v>
      </c>
      <c r="B7" s="107"/>
      <c r="C7" s="107"/>
      <c r="D7" s="107"/>
      <c r="E7" s="108"/>
      <c r="F7" s="107"/>
      <c r="G7" s="107"/>
    </row>
  </sheetData>
  <mergeCells count="1">
    <mergeCell ref="A1:G1"/>
  </mergeCells>
  <dataValidations count="2">
    <dataValidation type="list" allowBlank="1" showInputMessage="1" showErrorMessage="1" sqref="C1 C3 C4 C5:C65536">
      <formula1>INDIRECT("字典!$a$2:$a$30")</formula1>
    </dataValidation>
    <dataValidation allowBlank="1" showInputMessage="1" showErrorMessage="1" sqref="C2"/>
  </dataValidations>
  <pageMargins left="0.590277777777778" right="0.590277777777778" top="0.984027777777778" bottom="0.984027777777778" header="0.510416666666667" footer="0.510416666666667"/>
  <pageSetup paperSize="9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J9"/>
  <sheetViews>
    <sheetView zoomScale="85" zoomScaleNormal="85" workbookViewId="0">
      <selection activeCell="G19" sqref="G19"/>
    </sheetView>
  </sheetViews>
  <sheetFormatPr defaultColWidth="9" defaultRowHeight="14.25"/>
  <cols>
    <col min="3" max="3" width="22.625" customWidth="1"/>
    <col min="4" max="4" width="18.25" customWidth="1"/>
    <col min="5" max="5" width="14.125" customWidth="1"/>
    <col min="6" max="6" width="16" customWidth="1"/>
    <col min="7" max="7" width="23.5" customWidth="1"/>
    <col min="8" max="8" width="14" customWidth="1"/>
    <col min="10" max="10" width="14.125" style="95" customWidth="1"/>
  </cols>
  <sheetData>
    <row r="1" ht="75" customHeight="1" spans="1:10">
      <c r="A1" s="96" t="s">
        <v>218</v>
      </c>
      <c r="B1" s="97"/>
      <c r="C1" s="97"/>
      <c r="D1" s="97"/>
      <c r="E1" s="97"/>
      <c r="F1" s="97"/>
      <c r="G1" s="97"/>
      <c r="H1" s="97"/>
      <c r="I1" s="97"/>
      <c r="J1" s="100"/>
    </row>
    <row r="2" ht="42.75" spans="1:10">
      <c r="A2" s="32" t="s">
        <v>2</v>
      </c>
      <c r="B2" s="32" t="s">
        <v>3</v>
      </c>
      <c r="C2" s="32" t="s">
        <v>178</v>
      </c>
      <c r="D2" s="32" t="s">
        <v>179</v>
      </c>
      <c r="E2" s="32" t="s">
        <v>181</v>
      </c>
      <c r="F2" s="32" t="s">
        <v>189</v>
      </c>
      <c r="G2" s="32" t="s">
        <v>206</v>
      </c>
      <c r="H2" s="32" t="s">
        <v>184</v>
      </c>
      <c r="I2" s="32" t="s">
        <v>219</v>
      </c>
      <c r="J2" s="101" t="s">
        <v>220</v>
      </c>
    </row>
    <row r="3" s="5" customFormat="1" ht="26.25" customHeight="1" spans="1:10">
      <c r="A3" s="98">
        <v>0</v>
      </c>
      <c r="B3" s="59" t="s">
        <v>12</v>
      </c>
      <c r="C3" s="80" t="s">
        <v>14</v>
      </c>
      <c r="D3" s="59"/>
      <c r="E3" s="59"/>
      <c r="F3" s="81" t="s">
        <v>221</v>
      </c>
      <c r="G3" s="59"/>
      <c r="H3" s="59"/>
      <c r="I3" s="102"/>
      <c r="J3" s="103"/>
    </row>
    <row r="4" ht="35.1" customHeight="1" spans="1:10">
      <c r="A4" s="74">
        <v>1</v>
      </c>
      <c r="B4" s="99"/>
      <c r="C4" s="99"/>
      <c r="D4" s="99"/>
      <c r="E4" s="99"/>
      <c r="F4" s="99"/>
      <c r="G4" s="99"/>
      <c r="H4" s="99"/>
      <c r="I4" s="99"/>
      <c r="J4" s="104"/>
    </row>
    <row r="5" ht="35.1" customHeight="1" spans="1:10">
      <c r="A5" s="74">
        <v>2</v>
      </c>
      <c r="B5" s="74"/>
      <c r="C5" s="74"/>
      <c r="D5" s="74"/>
      <c r="E5" s="74"/>
      <c r="F5" s="74"/>
      <c r="G5" s="74"/>
      <c r="H5" s="74"/>
      <c r="I5" s="74"/>
      <c r="J5" s="104"/>
    </row>
    <row r="6" ht="35.1" customHeight="1" spans="1:10">
      <c r="A6" s="74">
        <v>3</v>
      </c>
      <c r="B6" s="74"/>
      <c r="C6" s="74"/>
      <c r="D6" s="74"/>
      <c r="E6" s="74"/>
      <c r="F6" s="74"/>
      <c r="G6" s="74"/>
      <c r="H6" s="74"/>
      <c r="I6" s="74"/>
      <c r="J6" s="104"/>
    </row>
    <row r="7" ht="35.1" customHeight="1" spans="1:10">
      <c r="A7" s="74">
        <v>4</v>
      </c>
      <c r="B7" s="74"/>
      <c r="C7" s="74"/>
      <c r="D7" s="74"/>
      <c r="E7" s="74"/>
      <c r="F7" s="74"/>
      <c r="G7" s="74"/>
      <c r="H7" s="74"/>
      <c r="I7" s="74"/>
      <c r="J7" s="104"/>
    </row>
    <row r="8" ht="35.1" customHeight="1" spans="1:10">
      <c r="A8" s="74">
        <v>5</v>
      </c>
      <c r="B8" s="74"/>
      <c r="C8" s="74"/>
      <c r="D8" s="74"/>
      <c r="E8" s="74"/>
      <c r="F8" s="74"/>
      <c r="G8" s="74"/>
      <c r="H8" s="74"/>
      <c r="I8" s="74"/>
      <c r="J8" s="104"/>
    </row>
    <row r="9" ht="35.1" customHeight="1" spans="1:10">
      <c r="A9" s="74">
        <v>6</v>
      </c>
      <c r="B9" s="74"/>
      <c r="C9" s="74"/>
      <c r="D9" s="74"/>
      <c r="E9" s="74"/>
      <c r="F9" s="74"/>
      <c r="G9" s="74"/>
      <c r="H9" s="74"/>
      <c r="I9" s="74"/>
      <c r="J9" s="104"/>
    </row>
  </sheetData>
  <mergeCells count="1">
    <mergeCell ref="A1:J1"/>
  </mergeCells>
  <dataValidations count="2">
    <dataValidation type="list" allowBlank="1" showInputMessage="1" showErrorMessage="1" sqref="C1 C3:C65536">
      <formula1>INDIRECT("字典!$a$2:$a$30")</formula1>
    </dataValidation>
    <dataValidation allowBlank="1" showInputMessage="1" showErrorMessage="1" sqref="C2"/>
  </dataValidation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5"/>
  </sheetPr>
  <dimension ref="A1:J10"/>
  <sheetViews>
    <sheetView zoomScale="85" zoomScaleNormal="85" topLeftCell="E1" workbookViewId="0">
      <selection activeCell="B7" sqref="B7:J8"/>
    </sheetView>
  </sheetViews>
  <sheetFormatPr defaultColWidth="9" defaultRowHeight="14.25"/>
  <cols>
    <col min="1" max="1" width="5.75" customWidth="1"/>
    <col min="2" max="2" width="23.125" customWidth="1"/>
    <col min="3" max="3" width="22.25" customWidth="1"/>
    <col min="4" max="4" width="28"/>
    <col min="5" max="5" width="30.25"/>
    <col min="6" max="6" width="25.5"/>
    <col min="7" max="7" width="13" customWidth="1"/>
    <col min="8" max="8" width="32.25"/>
    <col min="9" max="9" width="14" customWidth="1"/>
  </cols>
  <sheetData>
    <row r="1" ht="76.5" customHeight="1" spans="1:10">
      <c r="A1" s="78" t="s">
        <v>222</v>
      </c>
      <c r="B1" s="79"/>
      <c r="C1" s="79"/>
      <c r="D1" s="79"/>
      <c r="E1" s="79"/>
      <c r="F1" s="79"/>
      <c r="G1" s="79"/>
      <c r="H1" s="79"/>
      <c r="I1" s="79"/>
      <c r="J1" s="79"/>
    </row>
    <row r="2" ht="66" customHeight="1" spans="1:10">
      <c r="A2" s="8" t="s">
        <v>2</v>
      </c>
      <c r="B2" s="8" t="s">
        <v>223</v>
      </c>
      <c r="C2" s="8" t="s">
        <v>178</v>
      </c>
      <c r="D2" s="8" t="s">
        <v>224</v>
      </c>
      <c r="E2" s="8" t="s">
        <v>225</v>
      </c>
      <c r="F2" s="8" t="s">
        <v>226</v>
      </c>
      <c r="G2" s="8" t="s">
        <v>227</v>
      </c>
      <c r="H2" s="8" t="s">
        <v>228</v>
      </c>
      <c r="I2" s="8" t="s">
        <v>229</v>
      </c>
      <c r="J2" s="8" t="s">
        <v>219</v>
      </c>
    </row>
    <row r="3" s="37" customFormat="1" ht="24.95" customHeight="1" spans="1:10">
      <c r="A3" s="59" t="s">
        <v>12</v>
      </c>
      <c r="B3" s="59" t="s">
        <v>198</v>
      </c>
      <c r="C3" s="80" t="s">
        <v>230</v>
      </c>
      <c r="D3" s="80" t="s">
        <v>231</v>
      </c>
      <c r="E3" s="80" t="s">
        <v>232</v>
      </c>
      <c r="F3" s="80" t="s">
        <v>233</v>
      </c>
      <c r="G3" s="81" t="s">
        <v>234</v>
      </c>
      <c r="H3" s="80" t="s">
        <v>235</v>
      </c>
      <c r="I3" s="80" t="s">
        <v>236</v>
      </c>
      <c r="J3" s="80" t="s">
        <v>237</v>
      </c>
    </row>
    <row r="4" ht="24.95" customHeight="1" spans="1:10">
      <c r="A4" s="82">
        <v>1</v>
      </c>
      <c r="B4" s="83" t="s">
        <v>72</v>
      </c>
      <c r="C4" s="83" t="s">
        <v>20</v>
      </c>
      <c r="D4" s="84" t="s">
        <v>238</v>
      </c>
      <c r="E4" s="85" t="s">
        <v>239</v>
      </c>
      <c r="F4" s="86" t="s">
        <v>233</v>
      </c>
      <c r="G4" s="83" t="s">
        <v>240</v>
      </c>
      <c r="H4" s="86" t="s">
        <v>235</v>
      </c>
      <c r="I4" s="86" t="s">
        <v>236</v>
      </c>
      <c r="J4" s="86" t="s">
        <v>241</v>
      </c>
    </row>
    <row r="5" ht="24.95" customHeight="1" spans="1:10">
      <c r="A5" s="82">
        <v>2</v>
      </c>
      <c r="B5" s="83" t="s">
        <v>72</v>
      </c>
      <c r="C5" s="83" t="s">
        <v>20</v>
      </c>
      <c r="D5" s="86" t="s">
        <v>242</v>
      </c>
      <c r="E5" s="85" t="s">
        <v>243</v>
      </c>
      <c r="F5" s="86" t="s">
        <v>233</v>
      </c>
      <c r="G5" s="83" t="s">
        <v>244</v>
      </c>
      <c r="H5" s="86" t="s">
        <v>235</v>
      </c>
      <c r="I5" s="86" t="s">
        <v>236</v>
      </c>
      <c r="J5" s="94" t="s">
        <v>245</v>
      </c>
    </row>
    <row r="6" ht="24.95" customHeight="1" spans="1:10">
      <c r="A6" s="82">
        <v>3</v>
      </c>
      <c r="B6" s="83" t="s">
        <v>72</v>
      </c>
      <c r="C6" s="83" t="s">
        <v>20</v>
      </c>
      <c r="D6" s="53" t="s">
        <v>246</v>
      </c>
      <c r="E6" s="53" t="s">
        <v>247</v>
      </c>
      <c r="F6" s="86" t="s">
        <v>233</v>
      </c>
      <c r="G6" s="83" t="s">
        <v>248</v>
      </c>
      <c r="H6" s="86" t="s">
        <v>235</v>
      </c>
      <c r="I6" s="86" t="s">
        <v>236</v>
      </c>
      <c r="J6" s="94" t="s">
        <v>249</v>
      </c>
    </row>
    <row r="7" ht="24.95" customHeight="1" spans="1:10">
      <c r="A7" s="82">
        <v>4</v>
      </c>
      <c r="B7" s="53" t="s">
        <v>49</v>
      </c>
      <c r="C7" s="87" t="s">
        <v>20</v>
      </c>
      <c r="D7" s="88" t="s">
        <v>242</v>
      </c>
      <c r="E7" s="89" t="s">
        <v>243</v>
      </c>
      <c r="F7" s="87" t="s">
        <v>233</v>
      </c>
      <c r="G7" s="62" t="s">
        <v>250</v>
      </c>
      <c r="H7" s="87" t="s">
        <v>235</v>
      </c>
      <c r="I7" s="87" t="s">
        <v>236</v>
      </c>
      <c r="J7" s="87" t="s">
        <v>237</v>
      </c>
    </row>
    <row r="8" ht="24.95" customHeight="1" spans="1:10">
      <c r="A8" s="82">
        <v>5</v>
      </c>
      <c r="B8" s="53" t="s">
        <v>49</v>
      </c>
      <c r="C8" s="87" t="s">
        <v>20</v>
      </c>
      <c r="D8" s="87" t="s">
        <v>238</v>
      </c>
      <c r="E8" s="89" t="s">
        <v>239</v>
      </c>
      <c r="F8" s="87" t="s">
        <v>233</v>
      </c>
      <c r="G8" s="90" t="s">
        <v>94</v>
      </c>
      <c r="H8" s="87" t="s">
        <v>235</v>
      </c>
      <c r="I8" s="87" t="s">
        <v>236</v>
      </c>
      <c r="J8" s="87" t="s">
        <v>237</v>
      </c>
    </row>
    <row r="9" ht="24.95" customHeight="1" spans="1:10">
      <c r="A9" s="82">
        <v>6</v>
      </c>
      <c r="B9" s="60"/>
      <c r="C9" s="87"/>
      <c r="D9" s="91"/>
      <c r="E9" s="85"/>
      <c r="F9" s="87"/>
      <c r="G9" s="92"/>
      <c r="H9" s="87"/>
      <c r="I9" s="87"/>
      <c r="J9" s="87"/>
    </row>
    <row r="10" spans="5:5">
      <c r="E10" s="93"/>
    </row>
  </sheetData>
  <mergeCells count="1">
    <mergeCell ref="A1:J1"/>
  </mergeCells>
  <dataValidations count="2">
    <dataValidation type="list" allowBlank="1" showInputMessage="1" showErrorMessage="1" sqref="C1 C3 C9 C4:C6 C7:C8 C10:C11 C12:C65535">
      <formula1>INDIRECT("字典!$a$2:$a$30")</formula1>
    </dataValidation>
    <dataValidation allowBlank="1" showInputMessage="1" showErrorMessage="1" sqref="C2"/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论文</vt:lpstr>
      <vt:lpstr>著作</vt:lpstr>
      <vt:lpstr>科研成果</vt:lpstr>
      <vt:lpstr>论文评奖</vt:lpstr>
      <vt:lpstr>教师参赛获奖</vt:lpstr>
      <vt:lpstr>多媒体课件获奖</vt:lpstr>
      <vt:lpstr>优秀指导教师</vt:lpstr>
      <vt:lpstr>品种审定</vt:lpstr>
      <vt:lpstr>专利</vt:lpstr>
      <vt:lpstr>课题立项结题</vt:lpstr>
      <vt:lpstr>教师知识咨询</vt:lpstr>
      <vt:lpstr>教师技术服务</vt:lpstr>
      <vt:lpstr>全院统计表</vt:lpstr>
      <vt:lpstr>全院全年汇总表2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</dc:creator>
  <cp:lastModifiedBy>Administrator</cp:lastModifiedBy>
  <cp:revision>1</cp:revision>
  <dcterms:created xsi:type="dcterms:W3CDTF">2010-03-08T01:04:00Z</dcterms:created>
  <cp:lastPrinted>2014-12-26T02:06:00Z</cp:lastPrinted>
  <dcterms:modified xsi:type="dcterms:W3CDTF">2016-12-22T03:09:23Z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